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4735" windowHeight="12435" activeTab="5"/>
  </bookViews>
  <sheets>
    <sheet name="Cas 1 - ROSSIGNOL" sheetId="1" r:id="rId1"/>
    <sheet name="Cas 2 - LEVFI" sheetId="2" r:id="rId2"/>
    <sheet name="Cas 3&amp;4 - BATIBOIS" sheetId="3" r:id="rId3"/>
    <sheet name="Cas 5 - CAF" sheetId="4" r:id="rId4"/>
    <sheet name="Cas 6 - DIFF" sheetId="5" r:id="rId5"/>
    <sheet name="Cas 7 - AVEN" sheetId="6" r:id="rId6"/>
  </sheets>
  <calcPr calcId="125725"/>
</workbook>
</file>

<file path=xl/calcChain.xml><?xml version="1.0" encoding="utf-8"?>
<calcChain xmlns="http://schemas.openxmlformats.org/spreadsheetml/2006/main">
  <c r="J4" i="4"/>
  <c r="H3"/>
  <c r="I29" i="3"/>
  <c r="I34"/>
  <c r="F40"/>
  <c r="G38"/>
  <c r="G35"/>
  <c r="F32"/>
  <c r="G29"/>
  <c r="G30"/>
  <c r="G28"/>
  <c r="F24"/>
  <c r="F26"/>
  <c r="F25"/>
  <c r="D32" i="1"/>
  <c r="D31"/>
  <c r="D30"/>
  <c r="B39" i="6" l="1"/>
  <c r="C35"/>
  <c r="B46"/>
  <c r="B45"/>
  <c r="B30"/>
  <c r="B29"/>
  <c r="B27"/>
  <c r="B21"/>
  <c r="B20"/>
  <c r="B22" s="1"/>
  <c r="B23" s="1"/>
  <c r="B26" s="1"/>
  <c r="B32" s="1"/>
  <c r="B19"/>
  <c r="B17"/>
  <c r="B11"/>
  <c r="B12" s="1"/>
  <c r="D5"/>
  <c r="I32" i="5"/>
  <c r="H13"/>
  <c r="H14"/>
  <c r="H15"/>
  <c r="H16"/>
  <c r="H17"/>
  <c r="H18"/>
  <c r="H19"/>
  <c r="H20"/>
  <c r="H21"/>
  <c r="H22"/>
  <c r="H23"/>
  <c r="H12"/>
  <c r="G23"/>
  <c r="F23"/>
  <c r="G13"/>
  <c r="G14"/>
  <c r="G15"/>
  <c r="G16"/>
  <c r="G17"/>
  <c r="G18"/>
  <c r="G19"/>
  <c r="G20"/>
  <c r="G21"/>
  <c r="G22"/>
  <c r="G12" s="1"/>
  <c r="F22"/>
  <c r="I22"/>
  <c r="B25"/>
  <c r="B24"/>
  <c r="B21"/>
  <c r="B15"/>
  <c r="B14"/>
  <c r="B13"/>
  <c r="B11"/>
  <c r="B12"/>
  <c r="C4"/>
  <c r="C5"/>
  <c r="C6"/>
  <c r="C7"/>
  <c r="C3"/>
  <c r="B21" i="4"/>
  <c r="B19"/>
  <c r="D4"/>
  <c r="J5" s="1"/>
  <c r="D2"/>
  <c r="D3" s="1"/>
  <c r="F2" s="1"/>
  <c r="I28" i="3"/>
  <c r="I35"/>
  <c r="I27"/>
  <c r="I26"/>
  <c r="I25"/>
  <c r="I24"/>
  <c r="I23"/>
  <c r="I22"/>
  <c r="F41"/>
  <c r="G36"/>
  <c r="G33"/>
  <c r="F23"/>
  <c r="C17"/>
  <c r="C16"/>
  <c r="C15"/>
  <c r="C14"/>
  <c r="C13"/>
  <c r="C12"/>
  <c r="C10"/>
  <c r="C9"/>
  <c r="C8"/>
  <c r="C7"/>
  <c r="C6"/>
  <c r="C5"/>
  <c r="F71" i="2"/>
  <c r="H61"/>
  <c r="H62"/>
  <c r="H63"/>
  <c r="H64"/>
  <c r="H65"/>
  <c r="H66"/>
  <c r="H67"/>
  <c r="H68"/>
  <c r="H69"/>
  <c r="H60"/>
  <c r="E61"/>
  <c r="E62"/>
  <c r="E63"/>
  <c r="E64"/>
  <c r="E65"/>
  <c r="E66"/>
  <c r="E67"/>
  <c r="E68"/>
  <c r="E69"/>
  <c r="E60"/>
  <c r="D69"/>
  <c r="B69"/>
  <c r="G69" s="1"/>
  <c r="D68"/>
  <c r="F68" s="1"/>
  <c r="B68"/>
  <c r="G68" s="1"/>
  <c r="D67"/>
  <c r="B67"/>
  <c r="G67" s="1"/>
  <c r="D66"/>
  <c r="B66"/>
  <c r="G66" s="1"/>
  <c r="D65"/>
  <c r="B65"/>
  <c r="G65" s="1"/>
  <c r="D64"/>
  <c r="F64" s="1"/>
  <c r="B64"/>
  <c r="G64" s="1"/>
  <c r="D63"/>
  <c r="F63" s="1"/>
  <c r="B63"/>
  <c r="G63" s="1"/>
  <c r="D62"/>
  <c r="F62" s="1"/>
  <c r="B62"/>
  <c r="G62" s="1"/>
  <c r="D61"/>
  <c r="F61" s="1"/>
  <c r="B61"/>
  <c r="G61" s="1"/>
  <c r="D60"/>
  <c r="B60"/>
  <c r="G60" s="1"/>
  <c r="G59"/>
  <c r="B59"/>
  <c r="H38"/>
  <c r="H39"/>
  <c r="H40"/>
  <c r="H41"/>
  <c r="H42"/>
  <c r="H43"/>
  <c r="H44"/>
  <c r="H45"/>
  <c r="H46"/>
  <c r="H47"/>
  <c r="H48"/>
  <c r="H49"/>
  <c r="H50"/>
  <c r="H37"/>
  <c r="H5"/>
  <c r="F52"/>
  <c r="G51"/>
  <c r="F51"/>
  <c r="G38"/>
  <c r="G39"/>
  <c r="G40"/>
  <c r="G41"/>
  <c r="G42"/>
  <c r="G43"/>
  <c r="G44"/>
  <c r="G45"/>
  <c r="G46"/>
  <c r="G47"/>
  <c r="G48"/>
  <c r="G49"/>
  <c r="G50"/>
  <c r="G37"/>
  <c r="F38"/>
  <c r="F39"/>
  <c r="F40"/>
  <c r="F41"/>
  <c r="F42"/>
  <c r="F43"/>
  <c r="F44"/>
  <c r="F45"/>
  <c r="F46"/>
  <c r="F47"/>
  <c r="F48"/>
  <c r="F49"/>
  <c r="F50"/>
  <c r="F37"/>
  <c r="E39"/>
  <c r="E40"/>
  <c r="E41"/>
  <c r="E42"/>
  <c r="E43"/>
  <c r="E44"/>
  <c r="E45"/>
  <c r="E46"/>
  <c r="E47"/>
  <c r="E48"/>
  <c r="E49"/>
  <c r="E50"/>
  <c r="E37"/>
  <c r="E38"/>
  <c r="D38"/>
  <c r="D39"/>
  <c r="D40"/>
  <c r="D41"/>
  <c r="D42"/>
  <c r="D43"/>
  <c r="D44"/>
  <c r="D45"/>
  <c r="D46"/>
  <c r="D47"/>
  <c r="D48"/>
  <c r="D49"/>
  <c r="D50"/>
  <c r="D37"/>
  <c r="B33"/>
  <c r="H6"/>
  <c r="H7"/>
  <c r="H8"/>
  <c r="H9"/>
  <c r="H10"/>
  <c r="H11"/>
  <c r="F13"/>
  <c r="G12"/>
  <c r="F12"/>
  <c r="G6"/>
  <c r="G7"/>
  <c r="G8"/>
  <c r="G9"/>
  <c r="G10"/>
  <c r="G11"/>
  <c r="G5"/>
  <c r="F6"/>
  <c r="F7"/>
  <c r="F8"/>
  <c r="F9"/>
  <c r="F10"/>
  <c r="F11"/>
  <c r="F5"/>
  <c r="E6"/>
  <c r="E7"/>
  <c r="E8"/>
  <c r="E9"/>
  <c r="E10"/>
  <c r="E11"/>
  <c r="E5"/>
  <c r="D6"/>
  <c r="D7"/>
  <c r="D8"/>
  <c r="D9"/>
  <c r="D10"/>
  <c r="D11"/>
  <c r="D5"/>
  <c r="G4"/>
  <c r="D29" i="1"/>
  <c r="D25"/>
  <c r="D24"/>
  <c r="G11"/>
  <c r="G10"/>
  <c r="G9"/>
  <c r="G8"/>
  <c r="G6"/>
  <c r="G5"/>
  <c r="G4"/>
  <c r="G3"/>
  <c r="B48" i="6" l="1"/>
  <c r="B49" s="1"/>
  <c r="B50" s="1"/>
  <c r="B51" s="1"/>
  <c r="B34"/>
  <c r="B35" s="1"/>
  <c r="B40" s="1"/>
  <c r="D7" i="4"/>
  <c r="D8" s="1"/>
  <c r="D5"/>
  <c r="F3"/>
  <c r="F11"/>
  <c r="I36" i="3"/>
  <c r="I30"/>
  <c r="F65" i="2"/>
  <c r="F70" s="1"/>
  <c r="F67"/>
  <c r="F69"/>
  <c r="F60"/>
  <c r="F66"/>
  <c r="G70"/>
  <c r="D18" i="1"/>
  <c r="B13"/>
  <c r="B12"/>
  <c r="D13"/>
  <c r="D12"/>
  <c r="D11"/>
  <c r="D10"/>
  <c r="D8"/>
  <c r="D7" l="1"/>
  <c r="D6"/>
  <c r="D5"/>
  <c r="D4"/>
  <c r="D3"/>
  <c r="F17" s="1"/>
  <c r="B8"/>
  <c r="B11"/>
  <c r="F29" l="1"/>
  <c r="E31"/>
  <c r="E29" l="1"/>
  <c r="I32" i="3"/>
  <c r="I33" l="1"/>
  <c r="I37" s="1"/>
  <c r="I12" i="5"/>
  <c r="I21"/>
  <c r="I23"/>
  <c r="I13"/>
  <c r="I14"/>
  <c r="I20"/>
  <c r="I15"/>
  <c r="I18"/>
  <c r="I19"/>
  <c r="I17"/>
  <c r="I16"/>
</calcChain>
</file>

<file path=xl/sharedStrings.xml><?xml version="1.0" encoding="utf-8"?>
<sst xmlns="http://schemas.openxmlformats.org/spreadsheetml/2006/main" count="401" uniqueCount="354">
  <si>
    <t>Question N°1 : TCP max dans l'état actuel</t>
  </si>
  <si>
    <t>Question N°2 : Valeurs de chaque variable pour un objectif de TCP donné de  15%</t>
  </si>
  <si>
    <t>Données</t>
  </si>
  <si>
    <t>Objectif de TCP=Rc=f(Re, D/CP, i, p)=p.(1 – t).[Re3.(1+D/CP)–i.D/CP]</t>
  </si>
  <si>
    <t>BN1 après impôts</t>
  </si>
  <si>
    <t>BN2=BN1/(1-t)</t>
  </si>
  <si>
    <t>Valeur de Re3 pour TCP objectif</t>
  </si>
  <si>
    <t>Dettes = D</t>
  </si>
  <si>
    <t>BN3=BN2+FF</t>
  </si>
  <si>
    <t>Valeur de D/CP pour TCP objectif</t>
  </si>
  <si>
    <t>Capitaux propres CP</t>
  </si>
  <si>
    <t>Taux de rentabilité économique Re3=BN3/A=BN3/(D+CP)</t>
  </si>
  <si>
    <t>Valeur de p pour TCP objectif</t>
  </si>
  <si>
    <t>Dividendes</t>
  </si>
  <si>
    <t>Taux d'endettement D/CP</t>
  </si>
  <si>
    <t>Valeur de i pour TCP objectif</t>
  </si>
  <si>
    <t>Frais financiers FF=iD</t>
  </si>
  <si>
    <t>Taux de rétention p</t>
  </si>
  <si>
    <t xml:space="preserve">Taux d'imposition t sur bénéfices </t>
  </si>
  <si>
    <t>Taux moyen d'intérêt des dettes i</t>
  </si>
  <si>
    <t>Augmentation de Re3</t>
  </si>
  <si>
    <t>Augmentation de D/CP</t>
  </si>
  <si>
    <t>Rc</t>
  </si>
  <si>
    <t>Taux de croissance intrinsèque=p(1-t)Re3</t>
  </si>
  <si>
    <t>Augmentation de p</t>
  </si>
  <si>
    <t>Rf</t>
  </si>
  <si>
    <t>Taux de croissance extrinsèque=p(1-t)[D/CP(Re3-i)]</t>
  </si>
  <si>
    <t>"Diminution" de i</t>
  </si>
  <si>
    <t>Rc=p*Rf=BN1/CP*p=[croissance intrinseque+croissance extrinseque]</t>
  </si>
  <si>
    <t>Taux de croissance maximal des capitaux propres=TCP=p*BN1/CP</t>
  </si>
  <si>
    <t>croissance intrinseque?=Re3</t>
  </si>
  <si>
    <t>Rf1=BN1/CP</t>
  </si>
  <si>
    <t>croissance extrinseque=levier financier=?*(Re3-i)</t>
  </si>
  <si>
    <t>Re=Rentabilité économique</t>
  </si>
  <si>
    <t>Question N°3 : Quelle valeur max de TCP peut-on atteindre sans distribuer de dividendes?</t>
  </si>
  <si>
    <t>la croissance ex vient de l'ext et depend du levier financier</t>
  </si>
  <si>
    <t>Re3=BN3/A</t>
  </si>
  <si>
    <t>TCP max=p(1-t)[Re3+D/CP(Re3-i)]</t>
  </si>
  <si>
    <t>BN=CA-CV-CF</t>
  </si>
  <si>
    <t>Question N°4 : Chiffre d'affaires CA pour TCP=15%</t>
  </si>
  <si>
    <t>taux de marge sur charges variables TMCV=(CA-CV)/CA)</t>
  </si>
  <si>
    <t>CF (donné)</t>
  </si>
  <si>
    <t>CA=(1-TMCV)CV</t>
  </si>
  <si>
    <t>TMCV=(CA-CV)/CA (donné) (MCV=TMCV*CA)</t>
  </si>
  <si>
    <t>CV=Charges variables</t>
  </si>
  <si>
    <t>Valeur de Re3</t>
  </si>
  <si>
    <t>CF=coûts fixes</t>
  </si>
  <si>
    <t>BN3=Re3*A=CA-CF-CV=CA*TMCV-CF (pas avec le precedent)</t>
  </si>
  <si>
    <t>CA=(BN3+CF)/TMCV</t>
  </si>
  <si>
    <t>Rentabilité financière Rf1</t>
  </si>
  <si>
    <t>Vérif rép à question  N°4</t>
  </si>
  <si>
    <t>CA=CV+CF si BN3=0 (c'est la def de CA*) :</t>
  </si>
  <si>
    <t>CF</t>
  </si>
  <si>
    <t>CV=(1-TMCV)*CA</t>
  </si>
  <si>
    <t>BN3=CA*TMCV-CF</t>
  </si>
  <si>
    <t>au bilan A=P=D+CP</t>
  </si>
  <si>
    <t>p=(BN1-Dividendes)/BN1</t>
  </si>
  <si>
    <t>augmentation : (final-initial)/initial</t>
  </si>
  <si>
    <t>on a 1BN après impot (BN1)</t>
  </si>
  <si>
    <t>il a 2 dest possibles</t>
  </si>
  <si>
    <t>1: l'entreprise</t>
  </si>
  <si>
    <t>2: actionnaires</t>
  </si>
  <si>
    <t>la valeur qu'on conserve pr lentreprise dépend de p, et celle des actinnaires dépend du montant des dividendes</t>
  </si>
  <si>
    <t>on a BN1=34576</t>
  </si>
  <si>
    <t>on a decide de distribuer en divident 8053</t>
  </si>
  <si>
    <t>le taux de rentention c'est ce qui reste: (34576-8053)/34576=p</t>
  </si>
  <si>
    <t>banque, etat, BN1</t>
  </si>
  <si>
    <t>actif      passif</t>
  </si>
  <si>
    <t xml:space="preserve">  A           P</t>
  </si>
  <si>
    <t xml:space="preserve">            CP+D</t>
  </si>
  <si>
    <t>la banque nous prend de l'argent</t>
  </si>
  <si>
    <t>agiot, et frais financier</t>
  </si>
  <si>
    <t>donc charges financieres, qui correspondent à un taux d'intérêt moyen</t>
  </si>
  <si>
    <t>il est fonction du poids du CT, MT</t>
  </si>
  <si>
    <t>FF=i*D</t>
  </si>
  <si>
    <t>Notes :</t>
  </si>
  <si>
    <t>Rentabilite financiere: Rf=BN1/CP=(BN3-i)(1-t)/CP</t>
  </si>
  <si>
    <t>BN1=BN2(1-t)</t>
  </si>
  <si>
    <t>BN2=BN3-iD</t>
  </si>
  <si>
    <t>Re3=BN3/A&gt;i</t>
  </si>
  <si>
    <t>i=D/FF</t>
  </si>
  <si>
    <t>FF=iD</t>
  </si>
  <si>
    <t>Taux de rentabilité éconimoique Re3=BN3/A=BN3/(D+CP)</t>
  </si>
  <si>
    <t>cdn pr levier financier: rentabiblite eco &gt; taux de rent : Re3=BN3/A&gt;i</t>
  </si>
  <si>
    <t>t</t>
  </si>
  <si>
    <t>BN3</t>
  </si>
  <si>
    <t>en M€</t>
  </si>
  <si>
    <t>CP</t>
  </si>
  <si>
    <t>D</t>
  </si>
  <si>
    <t>i</t>
  </si>
  <si>
    <t>iD</t>
  </si>
  <si>
    <t>BN1=(BN3-iD)(1-t) en M€</t>
  </si>
  <si>
    <t>Rf=BN1/CP</t>
  </si>
  <si>
    <t>D/CP en %</t>
  </si>
  <si>
    <t>Levier financier</t>
  </si>
  <si>
    <t>max de Rf</t>
  </si>
  <si>
    <t>CP(max Rf)</t>
  </si>
  <si>
    <t>repartition : D=4 et CP=6 pour rentailité financiere max</t>
  </si>
  <si>
    <t>Compte de résultat</t>
  </si>
  <si>
    <t>Montant HT</t>
  </si>
  <si>
    <t>% du CA HT</t>
  </si>
  <si>
    <t>CA HT</t>
  </si>
  <si>
    <t>Charges</t>
  </si>
  <si>
    <t>Charges variables</t>
  </si>
  <si>
    <t>Achat mat prem</t>
  </si>
  <si>
    <t>Achat approv</t>
  </si>
  <si>
    <t>Serv extérieurs</t>
  </si>
  <si>
    <t>Salaires</t>
  </si>
  <si>
    <t>Charges sociales</t>
  </si>
  <si>
    <t>EBE</t>
  </si>
  <si>
    <t>Charges fixes</t>
  </si>
  <si>
    <t>DOT aux amo</t>
  </si>
  <si>
    <t>Intérets d'emprunts</t>
  </si>
  <si>
    <t>TOTAL CHARGES</t>
  </si>
  <si>
    <t>BN2=résultat avant impot</t>
  </si>
  <si>
    <t>impot sur benef 1/3</t>
  </si>
  <si>
    <t>BN1=Resultat d'exploitation apres impots</t>
  </si>
  <si>
    <t xml:space="preserve">Informations </t>
  </si>
  <si>
    <t>durée moy en j de rotation ou immo</t>
  </si>
  <si>
    <t>stock mp</t>
  </si>
  <si>
    <t>stocks autres approv</t>
  </si>
  <si>
    <t>quantité en stock négligeable</t>
  </si>
  <si>
    <t>stocks d'en cours ou semis finis</t>
  </si>
  <si>
    <t>cout de revient du produit semi fini (du prix de vente HT)</t>
  </si>
  <si>
    <t>stocks produits finis</t>
  </si>
  <si>
    <t>cout de revient du produit fini (du prix de vente HT)</t>
  </si>
  <si>
    <t>delai de paiement clients</t>
  </si>
  <si>
    <t>delai de reglement FRS de mp</t>
  </si>
  <si>
    <t>délai de reglement FRS autres approv et services</t>
  </si>
  <si>
    <t>30jours fin de mois</t>
  </si>
  <si>
    <t>taux de tva</t>
  </si>
  <si>
    <t>salaires</t>
  </si>
  <si>
    <t>payés en fin de mois</t>
  </si>
  <si>
    <t>charges sociales</t>
  </si>
  <si>
    <t>acquitées le 15 du mois suivant à la fin du trim.</t>
  </si>
  <si>
    <t>intérets d'emprunt</t>
  </si>
  <si>
    <t>versés en fin de trimestre</t>
  </si>
  <si>
    <t>quel est le bfre ?</t>
  </si>
  <si>
    <t>le passif est cyclique</t>
  </si>
  <si>
    <t>la valeur ajoutée</t>
  </si>
  <si>
    <t>TVA sur vente--&gt;dettes</t>
  </si>
  <si>
    <t>passif</t>
  </si>
  <si>
    <t>qd achat, on peut déduire, et réduire les dettes</t>
  </si>
  <si>
    <t>actif</t>
  </si>
  <si>
    <t>qd on a des charges sociles a payer c'est sur la base du salaire brut du mois précédent</t>
  </si>
  <si>
    <t>pour plus de 10 salariés</t>
  </si>
  <si>
    <t>sinon trimestriel</t>
  </si>
  <si>
    <t xml:space="preserve">tant qu'il est dans l'entreprise y a pas de taxe, </t>
  </si>
  <si>
    <t>stock MP=10j/360*</t>
  </si>
  <si>
    <t>BFRE=Stocks+Créances clients-Dettes fournisseurs</t>
  </si>
  <si>
    <t>les mat qu'on achete, on les cons  et on les épuise</t>
  </si>
  <si>
    <t>Calcul du BFRE</t>
  </si>
  <si>
    <t>Croissance par autofinancement et chiffre d'affaires point mort</t>
  </si>
  <si>
    <t xml:space="preserve">actif cyclique </t>
  </si>
  <si>
    <t>passif cyclique</t>
  </si>
  <si>
    <t>CA objectif affiche</t>
  </si>
  <si>
    <t>Stocks</t>
  </si>
  <si>
    <t>(Charges variables (CV))/CA HT</t>
  </si>
  <si>
    <t>Montant des charges variables pour le CA objectif</t>
  </si>
  <si>
    <t>Stocks d'en-cours ou semi-finis</t>
  </si>
  <si>
    <t>Charges fixes =CF</t>
  </si>
  <si>
    <t>Stock produits finis</t>
  </si>
  <si>
    <t>BN2=Résultat avant impot</t>
  </si>
  <si>
    <t>Créances clients (45jours de CA TTC)</t>
  </si>
  <si>
    <t>Impot sur benef</t>
  </si>
  <si>
    <t>Dettes fournisseurs</t>
  </si>
  <si>
    <t>BN1=Resultat après impot</t>
  </si>
  <si>
    <t>Dettes FRS mp (60 jours d'achats TTC)</t>
  </si>
  <si>
    <t>BN1/CA HT</t>
  </si>
  <si>
    <t>Dettes FRS autres approvisionts (45 j d'achats TTC)</t>
  </si>
  <si>
    <t>Dettes FRS de services (45 jours d'achats TTC)</t>
  </si>
  <si>
    <t>CAF=BN1+Amo-Dividendes</t>
  </si>
  <si>
    <t>TVA sur achats</t>
  </si>
  <si>
    <t>CAF net pour financer le BFRE</t>
  </si>
  <si>
    <t>TVA sur ventes</t>
  </si>
  <si>
    <t>a=taux d'autofinancement du BFRE=CAF nette/CA</t>
  </si>
  <si>
    <t>Incidence salaires et charges sociales</t>
  </si>
  <si>
    <t>Accroissement du BFRE</t>
  </si>
  <si>
    <t>Dette moyenne sur salaires</t>
  </si>
  <si>
    <t>b=nouveau BFRE/CA HT</t>
  </si>
  <si>
    <t>Dette moyenne sur charges sociales</t>
  </si>
  <si>
    <t>nouveau BFRE</t>
  </si>
  <si>
    <t>Incidence intérêt sur emprunts</t>
  </si>
  <si>
    <t>a&gt;b</t>
  </si>
  <si>
    <t>Dette moyenne sur intérêts</t>
  </si>
  <si>
    <t>Croissance max du CA par autofinancement</t>
  </si>
  <si>
    <t>Total</t>
  </si>
  <si>
    <t>BFRE</t>
  </si>
  <si>
    <t>CA*=Chiffre d'affaires point mort =(CA*CF)/MCV</t>
  </si>
  <si>
    <t>RATIO BFRE/CA HT</t>
  </si>
  <si>
    <t>verifier le CA</t>
  </si>
  <si>
    <t>BFR = Besoin en Fonds de Roulement
BFRE = BFR d'Exploitation</t>
  </si>
  <si>
    <t>ENTREPRISE CAF</t>
  </si>
  <si>
    <t>Question N°1: Taux de croisance max du CA (FF/CA) max pour un taux objectif de croissance</t>
  </si>
  <si>
    <t>Question N°2 : Facteur max du CA en autofinançant les investissements</t>
  </si>
  <si>
    <t>Question N°3 : I max réduisant à zéro la croissance du CA</t>
  </si>
  <si>
    <t>Question N°4 : BNn+1 pour maintien de l'indépendance financière à c = 40%</t>
  </si>
  <si>
    <t>CAF Capacite d'autofinancement</t>
  </si>
  <si>
    <t>t facteur de croissance limite</t>
  </si>
  <si>
    <t>t (déduit de l'énoncé)</t>
  </si>
  <si>
    <t>c objectif</t>
  </si>
  <si>
    <t>BN1</t>
  </si>
  <si>
    <t>a= CAF/CAHT</t>
  </si>
  <si>
    <t>c</t>
  </si>
  <si>
    <t>I max</t>
  </si>
  <si>
    <t>b = BFRE/CAHT</t>
  </si>
  <si>
    <t>BNn+1</t>
  </si>
  <si>
    <t>Amo</t>
  </si>
  <si>
    <t>c taux de coissance max &lt; a/(b-a) ==&gt; b&gt;a</t>
  </si>
  <si>
    <t>BNn+1/BN1</t>
  </si>
  <si>
    <t>les nveaux investissements I en N+1</t>
  </si>
  <si>
    <t>c objectif (donné)</t>
  </si>
  <si>
    <t>Can (CA HT)</t>
  </si>
  <si>
    <t>Frais financiers/CA</t>
  </si>
  <si>
    <t>Frais financiers</t>
  </si>
  <si>
    <t>Créances clients</t>
  </si>
  <si>
    <t>les factures envoyées ne sont pas toutes reglées</t>
  </si>
  <si>
    <t>on nous doit de l'argent sur la base des factures ttc des factures</t>
  </si>
  <si>
    <t>ce qui reste dans le poste créance client, à t, au bilan</t>
  </si>
  <si>
    <t>convertir le CA HT en TTC</t>
  </si>
  <si>
    <t>Délai de reglement des clients</t>
  </si>
  <si>
    <t>TTC --&gt; oui</t>
  </si>
  <si>
    <t>Délai de reglement des fournisseurs</t>
  </si>
  <si>
    <t>==&gt; jours</t>
  </si>
  <si>
    <t>achats annuels (40% du CA)</t>
  </si>
  <si>
    <t>formules p23 du cours</t>
  </si>
  <si>
    <t>FF=charges financieres</t>
  </si>
  <si>
    <t>au compte de résultat</t>
  </si>
  <si>
    <t>Ffmax=</t>
  </si>
  <si>
    <t>Formules</t>
  </si>
  <si>
    <t>Taux de croissance soutenable des capitaux propres</t>
  </si>
  <si>
    <r>
      <t>R</t>
    </r>
    <r>
      <rPr>
        <vertAlign val="subscript"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= p(1-tx)[D/CP(Re3-i)+Re3]</t>
    </r>
  </si>
  <si>
    <t>Limite maximum du taux de croissance du CA par autofinancement pour a&lt;b</t>
  </si>
  <si>
    <t>c ≤ a/(b-a)</t>
  </si>
  <si>
    <t>Montant maximum supportable de FF pour ne pas réduire l'autofinancement</t>
  </si>
  <si>
    <t>FF ≤ a – b x c/(1+c)</t>
  </si>
  <si>
    <t xml:space="preserve">Limite du facteur de croissance t dans le cas d'un autofinancement de la croissance </t>
  </si>
  <si>
    <t>du CA et des nouveaux investissements I</t>
  </si>
  <si>
    <t>t ≤ (b-I/CA)/(b-a)</t>
  </si>
  <si>
    <t>Condition du maintien de l'indépendance financière IF = CPn/An</t>
  </si>
  <si>
    <t>BNn+1 ≥ (t-1) CPn = c CPn sans distribution de dividendes (p=1)</t>
  </si>
  <si>
    <t>Compte de résultat différentiel</t>
  </si>
  <si>
    <t>Montant</t>
  </si>
  <si>
    <t>CA</t>
  </si>
  <si>
    <t>Coût d'achat des marchandises vendues CV</t>
  </si>
  <si>
    <t>MCV</t>
  </si>
  <si>
    <t>Coûts fixes CF</t>
  </si>
  <si>
    <t>RESULTAT COURANT Re</t>
  </si>
  <si>
    <t>% du CA</t>
  </si>
  <si>
    <t>CA saisonnier</t>
  </si>
  <si>
    <t>N° trimestre</t>
  </si>
  <si>
    <t>CA cumulé à la fin de trimestre</t>
  </si>
  <si>
    <t>TMCV=taux de marge sur CV</t>
  </si>
  <si>
    <t>TMCV=(CA–CV)/CA</t>
  </si>
  <si>
    <t>1er janvier 2008</t>
  </si>
  <si>
    <t>prorata de l'annéePoint mort = (CA*/CA) x 12 mois si la période est le mois</t>
  </si>
  <si>
    <t>Question 1 :</t>
  </si>
  <si>
    <t>Seuil de rentabilité CA*=CF/TMCV</t>
  </si>
  <si>
    <t>Point mort en nbre de jours</t>
  </si>
  <si>
    <t>a)</t>
  </si>
  <si>
    <t>b)</t>
  </si>
  <si>
    <t xml:space="preserve">date du point mort : </t>
  </si>
  <si>
    <t>c)</t>
  </si>
  <si>
    <t>Marge de securite=CA-CA*</t>
  </si>
  <si>
    <t>Indice de sécurité = (Marge de sécurité/CA)x100</t>
  </si>
  <si>
    <t>on suppose que le CA est régulier sur l'année</t>
  </si>
  <si>
    <t>a quel moment dans l'année les 455000 sont-ils atteints ?</t>
  </si>
  <si>
    <t>excel demarre son calendrier le 1er janvier 1900</t>
  </si>
  <si>
    <r>
      <t>1)</t>
    </r>
    <r>
      <rPr>
        <sz val="11"/>
        <color indexed="8"/>
        <rFont val="Arial"/>
        <family val="2"/>
      </rPr>
      <t>Calculer le seuil de rentabilité (CA*), la date du point mort et l'indice de sécurité</t>
    </r>
  </si>
  <si>
    <r>
      <t>2)</t>
    </r>
    <r>
      <rPr>
        <sz val="11"/>
        <color indexed="8"/>
        <rFont val="Arial"/>
        <family val="2"/>
      </rPr>
      <t>Tracer le graphique permettant de visualiser CA* à l'intersection des deux droites</t>
    </r>
  </si>
  <si>
    <t>représentant le CA et la somme (CV+CF).</t>
  </si>
  <si>
    <r>
      <t>4)</t>
    </r>
    <r>
      <rPr>
        <sz val="11"/>
        <color indexed="8"/>
        <rFont val="Arial"/>
        <family val="2"/>
      </rPr>
      <t>Etablir le compte de résultat différentiel au point mort</t>
    </r>
  </si>
  <si>
    <r>
      <t>5)</t>
    </r>
    <r>
      <rPr>
        <sz val="11"/>
        <color indexed="8"/>
        <rFont val="Arial"/>
        <family val="2"/>
      </rPr>
      <t xml:space="preserve">Dans le cas où le chiffre d'affaires serait saisonnier et tel que l'indique le tableau </t>
    </r>
  </si>
  <si>
    <t>ci-dessous, quelle serait la nouvelle date de point mort ?</t>
  </si>
  <si>
    <t>Question 2 :</t>
  </si>
  <si>
    <t>CV</t>
  </si>
  <si>
    <t>CV+CF</t>
  </si>
  <si>
    <t>le coef entre le CA, le CF, etc ne varie pas</t>
  </si>
  <si>
    <t>CA=CV+CF</t>
  </si>
  <si>
    <t>d'où</t>
  </si>
  <si>
    <t>CA(CA-CV)/CA=CF</t>
  </si>
  <si>
    <t>CA*=CF/TMCV</t>
  </si>
  <si>
    <t>point mort</t>
  </si>
  <si>
    <t>Données connues</t>
  </si>
  <si>
    <t>Point mort</t>
  </si>
  <si>
    <t>Question 4 :</t>
  </si>
  <si>
    <t>au point mort, le benef est :</t>
  </si>
  <si>
    <t>Données du cas</t>
  </si>
  <si>
    <t>HT</t>
  </si>
  <si>
    <t>Charges de personnel des 3 ouvriers</t>
  </si>
  <si>
    <t>Charges de personnel des 2 commerciaux</t>
  </si>
  <si>
    <t>Salaires du DG et des employés</t>
  </si>
  <si>
    <t>Frais divers de gestion</t>
  </si>
  <si>
    <t>FF payés sur les dettes à long terme finançant le nouvel équipement</t>
  </si>
  <si>
    <t>Compte de résultat différentiel du flying breton</t>
  </si>
  <si>
    <t>Prix de vente du "Flying breton" CA</t>
  </si>
  <si>
    <t>enonce</t>
  </si>
  <si>
    <t>Achats pour appro de MP CV</t>
  </si>
  <si>
    <t>Marge de coûts variables (MCV)</t>
  </si>
  <si>
    <t>TMCV par "Flying breton" vendu : TMCV</t>
  </si>
  <si>
    <t>on recuperre 85 centimes chq fois qu'on fait 1F de CA</t>
  </si>
  <si>
    <t>Répartition des frais fixes communs</t>
  </si>
  <si>
    <t>Quantité de Flyong breton</t>
  </si>
  <si>
    <t>donnee</t>
  </si>
  <si>
    <t>Quantité d'Aile volante</t>
  </si>
  <si>
    <t>Clef de répartition des frais communs sur le Flying breton</t>
  </si>
  <si>
    <t>Salaires communs commerciaux</t>
  </si>
  <si>
    <t>Salaires communs DG+employés</t>
  </si>
  <si>
    <t>Total frais communs</t>
  </si>
  <si>
    <t>Part des frais fixes communs sur le Flying breton</t>
  </si>
  <si>
    <t>CF: 4 postes</t>
  </si>
  <si>
    <t>Charges fixes pour le Flying breton</t>
  </si>
  <si>
    <t>Part des FF communs</t>
  </si>
  <si>
    <t>Salaires des 3 ouvriers (considérés ici comme des Frais fixes)</t>
  </si>
  <si>
    <t>Atelier</t>
  </si>
  <si>
    <t>Machine</t>
  </si>
  <si>
    <t>Frais financiers FF</t>
  </si>
  <si>
    <t>emprunte 6% de 375000 = 25000 ???</t>
  </si>
  <si>
    <t>Total des charges fixes pour le Flying breton (CF)</t>
  </si>
  <si>
    <t>on a la part des charges totales qui arrive dans le flying+salaires des 3ouvriers+amo+FF correspondant aux intérêts des emptuns</t>
  </si>
  <si>
    <t>Seuil de rentabilité du Flying breton</t>
  </si>
  <si>
    <t>Nombre des planches Flying breton au seuil de rentabilité</t>
  </si>
  <si>
    <t>Ecart de 40 planches</t>
  </si>
  <si>
    <t>Valeur de l'écat type en CA</t>
  </si>
  <si>
    <t>Variable centrée réduite</t>
  </si>
  <si>
    <t>var centree reduite=(quantite-moy(quantite))/(ecart type)</t>
  </si>
  <si>
    <t>Probabilité d'atteindre le seuil de rentabilité CA*</t>
  </si>
  <si>
    <t>Bénéfice minimum à réaliser</t>
  </si>
  <si>
    <t>Autofinancement de l'investissement</t>
  </si>
  <si>
    <t>CP=350000</t>
  </si>
  <si>
    <t>le reste est emprunté</t>
  </si>
  <si>
    <t xml:space="preserve">Rentabilité nette après impôt souhaitée </t>
  </si>
  <si>
    <t>Bénéfice net minimum souhaitée</t>
  </si>
  <si>
    <t>Bénéfice avant impôts (taux de 1/3)</t>
  </si>
  <si>
    <t>Seuil de rentabilité pour bénéfice minimum (Frais fixes (CF)+benef)/TMCV</t>
  </si>
  <si>
    <t>CA=(CF+94500)/TMCV</t>
  </si>
  <si>
    <t>CA*=CF/TMCV=727077</t>
  </si>
  <si>
    <t>Nombre de planches Flying breton pour benef minimum</t>
  </si>
  <si>
    <t>Q=727077/550=132,…</t>
  </si>
  <si>
    <t>Probabilité d'atteindre cette valeur</t>
  </si>
  <si>
    <t>on accepte un risque de 2/3</t>
  </si>
  <si>
    <t>MCV/CA</t>
  </si>
  <si>
    <t>CA-CV</t>
  </si>
  <si>
    <t>(Quantité FB)/( Quantité AV+Quantité FB)</t>
  </si>
  <si>
    <t>clé de Repartition x les frais</t>
  </si>
  <si>
    <t>Amortissement lineaire sur 15 ans</t>
  </si>
  <si>
    <t>Amortissement lineaire sur 4 ans</t>
  </si>
  <si>
    <t>donnee     --------------------------------------------------&gt;</t>
  </si>
  <si>
    <t>CF/TMCV</t>
  </si>
  <si>
    <t>132 ou 133 ??</t>
  </si>
  <si>
    <t>Taux de rétention p = (BN1-Dividendes)/BN1</t>
  </si>
  <si>
    <t>Stocks matieres premieres</t>
  </si>
  <si>
    <t>Incidence TVA</t>
  </si>
  <si>
    <t>Nouveaux investissements par la CAF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</si>
</sst>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_€"/>
  </numFmts>
  <fonts count="12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lightUp">
        <fgColor theme="0" tint="-0.24994659260841701"/>
        <bgColor indexed="65"/>
      </patternFill>
    </fill>
    <fill>
      <patternFill patternType="lightUp">
        <fgColor theme="0" tint="-0.14993743705557422"/>
        <bgColor indexed="65"/>
      </patternFill>
    </fill>
    <fill>
      <patternFill patternType="solid">
        <fgColor indexed="65"/>
        <bgColor theme="0" tint="-0.24994659260841701"/>
      </patternFill>
    </fill>
    <fill>
      <patternFill patternType="gray0625"/>
    </fill>
    <fill>
      <patternFill patternType="lightUp">
        <fgColor theme="0" tint="-0.14996795556505021"/>
        <bgColor indexed="65"/>
      </patternFill>
    </fill>
    <fill>
      <patternFill patternType="gray0625">
        <fgColor rgb="FFFF0000"/>
      </patternFill>
    </fill>
    <fill>
      <patternFill patternType="lightUp">
        <fgColor theme="0" tint="-0.34998626667073579"/>
        <bgColor indexed="65"/>
      </patternFill>
    </fill>
    <fill>
      <patternFill patternType="darkTrellis">
        <fgColor theme="0" tint="-0.24994659260841701"/>
        <bgColor indexed="65"/>
      </patternFill>
    </fill>
    <fill>
      <patternFill patternType="solid">
        <fgColor indexed="65"/>
      </patternFill>
    </fill>
  </fills>
  <borders count="5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 applyBorder="1"/>
    <xf numFmtId="10" fontId="0" fillId="3" borderId="6" xfId="0" applyNumberFormat="1" applyFill="1" applyBorder="1"/>
    <xf numFmtId="0" fontId="0" fillId="0" borderId="0" xfId="0" applyAlignment="1">
      <alignment wrapText="1"/>
    </xf>
    <xf numFmtId="43" fontId="0" fillId="0" borderId="0" xfId="0" applyNumberFormat="1"/>
    <xf numFmtId="0" fontId="0" fillId="0" borderId="11" xfId="0" applyBorder="1"/>
    <xf numFmtId="0" fontId="0" fillId="0" borderId="12" xfId="0" applyBorder="1"/>
    <xf numFmtId="43" fontId="0" fillId="0" borderId="13" xfId="0" applyNumberFormat="1" applyBorder="1"/>
    <xf numFmtId="0" fontId="0" fillId="0" borderId="14" xfId="0" applyBorder="1"/>
    <xf numFmtId="10" fontId="0" fillId="0" borderId="15" xfId="0" applyNumberFormat="1" applyBorder="1"/>
    <xf numFmtId="0" fontId="0" fillId="0" borderId="16" xfId="0" applyBorder="1"/>
    <xf numFmtId="10" fontId="0" fillId="0" borderId="17" xfId="0" applyNumberFormat="1" applyBorder="1"/>
    <xf numFmtId="0" fontId="0" fillId="0" borderId="13" xfId="0" applyBorder="1"/>
    <xf numFmtId="0" fontId="0" fillId="3" borderId="13" xfId="0" applyNumberFormat="1" applyFill="1" applyBorder="1"/>
    <xf numFmtId="10" fontId="0" fillId="3" borderId="13" xfId="0" applyNumberFormat="1" applyFill="1" applyBorder="1"/>
    <xf numFmtId="10" fontId="0" fillId="0" borderId="13" xfId="0" applyNumberFormat="1" applyBorder="1"/>
    <xf numFmtId="10" fontId="0" fillId="3" borderId="15" xfId="0" applyNumberFormat="1" applyFill="1" applyBorder="1"/>
    <xf numFmtId="9" fontId="3" fillId="0" borderId="13" xfId="0" applyNumberFormat="1" applyFont="1" applyBorder="1"/>
    <xf numFmtId="0" fontId="0" fillId="0" borderId="17" xfId="0" applyBorder="1"/>
    <xf numFmtId="9" fontId="0" fillId="0" borderId="13" xfId="0" applyNumberFormat="1" applyBorder="1"/>
    <xf numFmtId="43" fontId="0" fillId="4" borderId="13" xfId="0" applyNumberFormat="1" applyFill="1" applyBorder="1"/>
    <xf numFmtId="43" fontId="0" fillId="3" borderId="13" xfId="0" applyNumberFormat="1" applyFill="1" applyBorder="1"/>
    <xf numFmtId="164" fontId="0" fillId="3" borderId="13" xfId="0" applyNumberFormat="1" applyFill="1" applyBorder="1"/>
    <xf numFmtId="164" fontId="0" fillId="3" borderId="15" xfId="0" applyNumberForma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24" xfId="0" applyFont="1" applyBorder="1"/>
    <xf numFmtId="0" fontId="3" fillId="0" borderId="25" xfId="0" applyFont="1" applyBorder="1"/>
    <xf numFmtId="0" fontId="0" fillId="0" borderId="23" xfId="0" applyFont="1" applyBorder="1"/>
    <xf numFmtId="0" fontId="0" fillId="0" borderId="26" xfId="0" applyBorder="1"/>
    <xf numFmtId="0" fontId="0" fillId="0" borderId="27" xfId="0" applyBorder="1"/>
    <xf numFmtId="0" fontId="0" fillId="0" borderId="10" xfId="0" applyBorder="1"/>
    <xf numFmtId="43" fontId="0" fillId="3" borderId="11" xfId="0" applyNumberFormat="1" applyFill="1" applyBorder="1"/>
    <xf numFmtId="0" fontId="0" fillId="3" borderId="13" xfId="0" applyFill="1" applyBorder="1"/>
    <xf numFmtId="0" fontId="0" fillId="0" borderId="14" xfId="0" applyBorder="1" applyAlignment="1">
      <alignment wrapText="1"/>
    </xf>
    <xf numFmtId="0" fontId="0" fillId="3" borderId="15" xfId="0" applyFill="1" applyBorder="1"/>
    <xf numFmtId="0" fontId="0" fillId="0" borderId="25" xfId="0" applyBorder="1" applyAlignment="1">
      <alignment wrapText="1"/>
    </xf>
    <xf numFmtId="43" fontId="0" fillId="0" borderId="0" xfId="0" applyNumberFormat="1" applyBorder="1" applyAlignment="1">
      <alignment horizontal="right"/>
    </xf>
    <xf numFmtId="10" fontId="0" fillId="0" borderId="17" xfId="0" applyNumberFormat="1" applyBorder="1" applyAlignment="1">
      <alignment horizontal="right"/>
    </xf>
    <xf numFmtId="0" fontId="0" fillId="0" borderId="0" xfId="0" applyFont="1" applyFill="1" applyBorder="1"/>
    <xf numFmtId="10" fontId="0" fillId="5" borderId="15" xfId="0" applyNumberFormat="1" applyFill="1" applyBorder="1"/>
    <xf numFmtId="0" fontId="3" fillId="0" borderId="0" xfId="0" applyFont="1"/>
    <xf numFmtId="10" fontId="2" fillId="0" borderId="0" xfId="0" applyNumberFormat="1" applyFont="1"/>
    <xf numFmtId="0" fontId="2" fillId="0" borderId="0" xfId="0" applyFont="1"/>
    <xf numFmtId="0" fontId="1" fillId="2" borderId="20" xfId="1" applyBorder="1"/>
    <xf numFmtId="0" fontId="1" fillId="2" borderId="22" xfId="1" applyBorder="1"/>
    <xf numFmtId="0" fontId="1" fillId="2" borderId="21" xfId="1" applyBorder="1"/>
    <xf numFmtId="10" fontId="0" fillId="0" borderId="0" xfId="0" applyNumberFormat="1" applyBorder="1"/>
    <xf numFmtId="0" fontId="0" fillId="3" borderId="0" xfId="0" applyFill="1" applyBorder="1"/>
    <xf numFmtId="10" fontId="0" fillId="3" borderId="0" xfId="0" applyNumberFormat="1" applyFill="1" applyBorder="1"/>
    <xf numFmtId="0" fontId="0" fillId="3" borderId="17" xfId="0" applyFill="1" applyBorder="1"/>
    <xf numFmtId="10" fontId="0" fillId="3" borderId="17" xfId="0" applyNumberFormat="1" applyFill="1" applyBorder="1"/>
    <xf numFmtId="0" fontId="0" fillId="3" borderId="9" xfId="0" applyFill="1" applyBorder="1"/>
    <xf numFmtId="0" fontId="0" fillId="6" borderId="12" xfId="0" applyFill="1" applyBorder="1"/>
    <xf numFmtId="0" fontId="0" fillId="6" borderId="0" xfId="0" applyFill="1" applyBorder="1"/>
    <xf numFmtId="10" fontId="0" fillId="3" borderId="14" xfId="0" applyNumberFormat="1" applyFill="1" applyBorder="1"/>
    <xf numFmtId="10" fontId="0" fillId="3" borderId="28" xfId="0" applyNumberFormat="1" applyFill="1" applyBorder="1"/>
    <xf numFmtId="9" fontId="0" fillId="0" borderId="0" xfId="0" applyNumberFormat="1" applyBorder="1"/>
    <xf numFmtId="9" fontId="0" fillId="0" borderId="17" xfId="0" applyNumberFormat="1" applyBorder="1"/>
    <xf numFmtId="0" fontId="0" fillId="8" borderId="12" xfId="0" applyFill="1" applyBorder="1"/>
    <xf numFmtId="0" fontId="0" fillId="8" borderId="0" xfId="0" applyFill="1" applyBorder="1"/>
    <xf numFmtId="0" fontId="0" fillId="3" borderId="9" xfId="0" applyNumberFormat="1" applyFill="1" applyBorder="1"/>
    <xf numFmtId="10" fontId="0" fillId="9" borderId="28" xfId="0" applyNumberFormat="1" applyFill="1" applyBorder="1"/>
    <xf numFmtId="10" fontId="0" fillId="9" borderId="15" xfId="0" applyNumberFormat="1" applyFill="1" applyBorder="1"/>
    <xf numFmtId="0" fontId="0" fillId="9" borderId="28" xfId="0" applyFill="1" applyBorder="1"/>
    <xf numFmtId="0" fontId="0" fillId="0" borderId="4" xfId="0" applyBorder="1" applyAlignment="1">
      <alignment wrapText="1"/>
    </xf>
    <xf numFmtId="0" fontId="3" fillId="0" borderId="2" xfId="0" applyFont="1" applyBorder="1" applyAlignment="1"/>
    <xf numFmtId="0" fontId="0" fillId="0" borderId="3" xfId="0" applyBorder="1" applyAlignment="1"/>
    <xf numFmtId="0" fontId="0" fillId="7" borderId="3" xfId="0" applyFill="1" applyBorder="1" applyAlignment="1"/>
    <xf numFmtId="0" fontId="0" fillId="7" borderId="6" xfId="0" applyFill="1" applyBorder="1" applyAlignment="1"/>
    <xf numFmtId="0" fontId="0" fillId="0" borderId="5" xfId="0" applyBorder="1" applyAlignment="1"/>
    <xf numFmtId="9" fontId="0" fillId="7" borderId="6" xfId="0" applyNumberFormat="1" applyFill="1" applyBorder="1" applyAlignment="1"/>
    <xf numFmtId="0" fontId="0" fillId="0" borderId="7" xfId="0" applyBorder="1" applyAlignment="1"/>
    <xf numFmtId="0" fontId="3" fillId="0" borderId="30" xfId="0" applyFont="1" applyBorder="1" applyAlignment="1"/>
    <xf numFmtId="0" fontId="3" fillId="0" borderId="31" xfId="0" applyFont="1" applyBorder="1" applyAlignment="1"/>
    <xf numFmtId="0" fontId="4" fillId="0" borderId="31" xfId="0" applyFont="1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7" borderId="8" xfId="0" applyFill="1" applyBorder="1" applyAlignment="1"/>
    <xf numFmtId="0" fontId="0" fillId="0" borderId="29" xfId="0" applyBorder="1" applyAlignment="1"/>
    <xf numFmtId="0" fontId="0" fillId="0" borderId="2" xfId="0" applyBorder="1" applyAlignment="1"/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0" xfId="0" applyAlignment="1"/>
    <xf numFmtId="0" fontId="0" fillId="0" borderId="30" xfId="0" applyBorder="1" applyAlignment="1"/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9" fontId="0" fillId="7" borderId="32" xfId="0" applyNumberFormat="1" applyFill="1" applyBorder="1" applyAlignment="1">
      <alignment horizontal="center"/>
    </xf>
    <xf numFmtId="10" fontId="0" fillId="7" borderId="31" xfId="0" applyNumberFormat="1" applyFill="1" applyBorder="1" applyAlignment="1">
      <alignment horizontal="center"/>
    </xf>
    <xf numFmtId="20" fontId="0" fillId="7" borderId="29" xfId="0" applyNumberFormat="1" applyFill="1" applyBorder="1" applyAlignment="1">
      <alignment horizontal="center"/>
    </xf>
    <xf numFmtId="0" fontId="5" fillId="7" borderId="29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5" xfId="0" applyBorder="1" applyAlignment="1">
      <alignment wrapText="1"/>
    </xf>
    <xf numFmtId="0" fontId="3" fillId="0" borderId="6" xfId="0" applyFont="1" applyBorder="1" applyAlignment="1"/>
    <xf numFmtId="0" fontId="0" fillId="0" borderId="6" xfId="0" applyBorder="1" applyAlignment="1"/>
    <xf numFmtId="0" fontId="0" fillId="0" borderId="11" xfId="0" applyBorder="1" applyAlignment="1"/>
    <xf numFmtId="10" fontId="0" fillId="3" borderId="13" xfId="0" applyNumberFormat="1" applyFill="1" applyBorder="1" applyAlignment="1"/>
    <xf numFmtId="0" fontId="0" fillId="3" borderId="13" xfId="0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3" fillId="0" borderId="24" xfId="0" applyFont="1" applyBorder="1" applyAlignment="1"/>
    <xf numFmtId="0" fontId="3" fillId="0" borderId="25" xfId="0" applyFont="1" applyBorder="1" applyAlignment="1"/>
    <xf numFmtId="0" fontId="0" fillId="0" borderId="26" xfId="0" applyBorder="1" applyAlignment="1"/>
    <xf numFmtId="0" fontId="3" fillId="0" borderId="27" xfId="0" applyFont="1" applyBorder="1" applyAlignment="1"/>
    <xf numFmtId="0" fontId="3" fillId="0" borderId="29" xfId="0" applyFont="1" applyBorder="1" applyAlignment="1"/>
    <xf numFmtId="0" fontId="0" fillId="10" borderId="29" xfId="0" applyFill="1" applyBorder="1" applyAlignment="1"/>
    <xf numFmtId="10" fontId="0" fillId="0" borderId="29" xfId="0" applyNumberFormat="1" applyBorder="1" applyAlignment="1"/>
    <xf numFmtId="10" fontId="0" fillId="0" borderId="13" xfId="0" applyNumberFormat="1" applyBorder="1" applyAlignment="1"/>
    <xf numFmtId="0" fontId="0" fillId="3" borderId="6" xfId="0" applyFill="1" applyBorder="1" applyAlignment="1">
      <alignment wrapText="1"/>
    </xf>
    <xf numFmtId="0" fontId="0" fillId="0" borderId="6" xfId="0" applyBorder="1" applyAlignment="1">
      <alignment wrapText="1"/>
    </xf>
    <xf numFmtId="10" fontId="0" fillId="3" borderId="6" xfId="0" applyNumberForma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39" xfId="0" applyBorder="1"/>
    <xf numFmtId="0" fontId="0" fillId="0" borderId="40" xfId="0" applyBorder="1"/>
    <xf numFmtId="0" fontId="0" fillId="3" borderId="40" xfId="0" applyFill="1" applyBorder="1"/>
    <xf numFmtId="0" fontId="0" fillId="0" borderId="33" xfId="0" applyBorder="1"/>
    <xf numFmtId="0" fontId="0" fillId="3" borderId="41" xfId="0" applyFill="1" applyBorder="1"/>
    <xf numFmtId="0" fontId="0" fillId="11" borderId="40" xfId="0" applyFill="1" applyBorder="1"/>
    <xf numFmtId="9" fontId="0" fillId="0" borderId="40" xfId="0" applyNumberFormat="1" applyBorder="1"/>
    <xf numFmtId="10" fontId="0" fillId="3" borderId="40" xfId="0" applyNumberFormat="1" applyFill="1" applyBorder="1"/>
    <xf numFmtId="10" fontId="0" fillId="3" borderId="41" xfId="0" applyNumberFormat="1" applyFill="1" applyBorder="1"/>
    <xf numFmtId="0" fontId="0" fillId="9" borderId="40" xfId="0" applyNumberFormat="1" applyFill="1" applyBorder="1"/>
    <xf numFmtId="0" fontId="0" fillId="0" borderId="41" xfId="0" applyBorder="1"/>
    <xf numFmtId="0" fontId="0" fillId="9" borderId="40" xfId="0" applyFill="1" applyBorder="1"/>
    <xf numFmtId="20" fontId="0" fillId="0" borderId="39" xfId="0" applyNumberFormat="1" applyBorder="1"/>
    <xf numFmtId="0" fontId="0" fillId="3" borderId="40" xfId="0" applyNumberFormat="1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8" xfId="0" applyBorder="1"/>
    <xf numFmtId="0" fontId="0" fillId="0" borderId="32" xfId="0" applyBorder="1"/>
    <xf numFmtId="0" fontId="0" fillId="0" borderId="0" xfId="0" quotePrefix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29" xfId="0" applyBorder="1"/>
    <xf numFmtId="0" fontId="0" fillId="0" borderId="5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8" xfId="0" applyBorder="1"/>
    <xf numFmtId="0" fontId="0" fillId="0" borderId="37" xfId="0" applyBorder="1"/>
    <xf numFmtId="0" fontId="0" fillId="0" borderId="51" xfId="0" applyBorder="1"/>
    <xf numFmtId="0" fontId="0" fillId="0" borderId="53" xfId="0" applyBorder="1"/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38" xfId="0" applyBorder="1"/>
    <xf numFmtId="0" fontId="0" fillId="0" borderId="39" xfId="0" applyBorder="1" applyAlignment="1">
      <alignment wrapText="1"/>
    </xf>
    <xf numFmtId="0" fontId="4" fillId="0" borderId="0" xfId="0" applyFont="1"/>
    <xf numFmtId="0" fontId="0" fillId="0" borderId="0" xfId="0" applyAlignment="1">
      <alignment horizontal="left" indent="4" readingOrder="1"/>
    </xf>
    <xf numFmtId="0" fontId="11" fillId="0" borderId="0" xfId="0" applyFont="1" applyAlignment="1">
      <alignment horizontal="left" indent="4" readingOrder="1"/>
    </xf>
    <xf numFmtId="10" fontId="0" fillId="9" borderId="38" xfId="0" applyNumberFormat="1" applyFill="1" applyBorder="1"/>
    <xf numFmtId="10" fontId="0" fillId="9" borderId="52" xfId="0" applyNumberFormat="1" applyFill="1" applyBorder="1"/>
    <xf numFmtId="10" fontId="0" fillId="9" borderId="54" xfId="0" applyNumberFormat="1" applyFill="1" applyBorder="1"/>
    <xf numFmtId="0" fontId="0" fillId="9" borderId="38" xfId="0" applyFill="1" applyBorder="1"/>
    <xf numFmtId="10" fontId="0" fillId="9" borderId="40" xfId="0" applyNumberFormat="1" applyFill="1" applyBorder="1"/>
    <xf numFmtId="2" fontId="0" fillId="9" borderId="40" xfId="0" applyNumberFormat="1" applyFill="1" applyBorder="1"/>
    <xf numFmtId="0" fontId="0" fillId="9" borderId="43" xfId="0" applyFill="1" applyBorder="1"/>
    <xf numFmtId="14" fontId="0" fillId="9" borderId="49" xfId="0" applyNumberFormat="1" applyFill="1" applyBorder="1"/>
    <xf numFmtId="0" fontId="0" fillId="3" borderId="29" xfId="0" applyFill="1" applyBorder="1"/>
    <xf numFmtId="164" fontId="0" fillId="0" borderId="29" xfId="0" applyNumberFormat="1" applyBorder="1" applyAlignment="1">
      <alignment horizontal="right"/>
    </xf>
    <xf numFmtId="0" fontId="2" fillId="0" borderId="29" xfId="0" applyFont="1" applyBorder="1"/>
    <xf numFmtId="164" fontId="0" fillId="0" borderId="29" xfId="0" applyNumberFormat="1" applyBorder="1"/>
    <xf numFmtId="0" fontId="3" fillId="0" borderId="29" xfId="0" applyFont="1" applyBorder="1"/>
    <xf numFmtId="164" fontId="0" fillId="9" borderId="29" xfId="0" applyNumberFormat="1" applyFill="1" applyBorder="1"/>
    <xf numFmtId="10" fontId="0" fillId="9" borderId="29" xfId="0" applyNumberFormat="1" applyFill="1" applyBorder="1"/>
    <xf numFmtId="164" fontId="0" fillId="0" borderId="29" xfId="0" applyNumberFormat="1" applyFill="1" applyBorder="1"/>
    <xf numFmtId="0" fontId="2" fillId="0" borderId="29" xfId="0" applyFont="1" applyBorder="1" applyAlignment="1">
      <alignment horizontal="right"/>
    </xf>
    <xf numFmtId="0" fontId="3" fillId="0" borderId="29" xfId="0" applyFont="1" applyFill="1" applyBorder="1"/>
    <xf numFmtId="10" fontId="0" fillId="0" borderId="29" xfId="0" applyNumberFormat="1" applyBorder="1"/>
    <xf numFmtId="0" fontId="0" fillId="0" borderId="55" xfId="0" applyBorder="1"/>
    <xf numFmtId="164" fontId="0" fillId="0" borderId="0" xfId="0" applyNumberFormat="1"/>
    <xf numFmtId="10" fontId="0" fillId="0" borderId="0" xfId="0" applyNumberFormat="1"/>
    <xf numFmtId="0" fontId="1" fillId="2" borderId="18" xfId="1" applyBorder="1"/>
    <xf numFmtId="0" fontId="1" fillId="2" borderId="19" xfId="1" applyBorder="1"/>
    <xf numFmtId="0" fontId="1" fillId="2" borderId="20" xfId="1" applyBorder="1" applyAlignment="1">
      <alignment horizontal="center"/>
    </xf>
    <xf numFmtId="0" fontId="1" fillId="2" borderId="21" xfId="1" applyBorder="1" applyAlignment="1">
      <alignment horizontal="center"/>
    </xf>
    <xf numFmtId="0" fontId="1" fillId="2" borderId="22" xfId="1" applyBorder="1" applyAlignment="1">
      <alignment horizontal="center"/>
    </xf>
    <xf numFmtId="0" fontId="1" fillId="2" borderId="35" xfId="1" applyBorder="1" applyAlignment="1">
      <alignment horizontal="center"/>
    </xf>
    <xf numFmtId="0" fontId="1" fillId="2" borderId="36" xfId="1" applyBorder="1" applyAlignment="1">
      <alignment horizontal="center"/>
    </xf>
    <xf numFmtId="0" fontId="1" fillId="2" borderId="34" xfId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3" xfId="0" applyFont="1" applyBorder="1" applyAlignment="1">
      <alignment horizontal="center"/>
    </xf>
  </cellXfs>
  <cellStyles count="2">
    <cellStyle name="Normal" xfId="0" builtinId="0"/>
    <cellStyle name="Sortie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lineChart>
        <c:grouping val="standard"/>
        <c:ser>
          <c:idx val="0"/>
          <c:order val="0"/>
          <c:tx>
            <c:strRef>
              <c:f>'Cas 2 - LEVFI'!$F$3</c:f>
              <c:strCache>
                <c:ptCount val="1"/>
                <c:pt idx="0">
                  <c:v>Rf=BN1/CP</c:v>
                </c:pt>
              </c:strCache>
            </c:strRef>
          </c:tx>
          <c:cat>
            <c:numRef>
              <c:f>'Cas 2 - LEVFI'!$G$5:$G$11</c:f>
              <c:numCache>
                <c:formatCode>0.00%</c:formatCode>
                <c:ptCount val="7"/>
                <c:pt idx="0">
                  <c:v>0.1111111111111111</c:v>
                </c:pt>
                <c:pt idx="1">
                  <c:v>0.25</c:v>
                </c:pt>
                <c:pt idx="2">
                  <c:v>0.42857142857142855</c:v>
                </c:pt>
                <c:pt idx="3">
                  <c:v>0.66666666666666663</c:v>
                </c:pt>
                <c:pt idx="4">
                  <c:v>1</c:v>
                </c:pt>
                <c:pt idx="5">
                  <c:v>1.5</c:v>
                </c:pt>
                <c:pt idx="6">
                  <c:v>2.3333333333333335</c:v>
                </c:pt>
              </c:numCache>
            </c:numRef>
          </c:cat>
          <c:val>
            <c:numRef>
              <c:f>'Cas 2 - LEVFI'!$F$5:$F$11</c:f>
              <c:numCache>
                <c:formatCode>0.00%</c:formatCode>
                <c:ptCount val="7"/>
                <c:pt idx="0">
                  <c:v>0.12445066666666668</c:v>
                </c:pt>
                <c:pt idx="1">
                  <c:v>0.12833975000000003</c:v>
                </c:pt>
                <c:pt idx="2">
                  <c:v>0.13143514285714286</c:v>
                </c:pt>
                <c:pt idx="3">
                  <c:v>0.13334000000000004</c:v>
                </c:pt>
                <c:pt idx="4">
                  <c:v>0.13334000000000001</c:v>
                </c:pt>
                <c:pt idx="5">
                  <c:v>0.13000650000000002</c:v>
                </c:pt>
                <c:pt idx="6">
                  <c:v>0.12000600000000002</c:v>
                </c:pt>
              </c:numCache>
            </c:numRef>
          </c:val>
        </c:ser>
        <c:marker val="1"/>
        <c:axId val="65725184"/>
        <c:axId val="65726720"/>
      </c:lineChart>
      <c:catAx>
        <c:axId val="65725184"/>
        <c:scaling>
          <c:orientation val="minMax"/>
        </c:scaling>
        <c:axPos val="b"/>
        <c:numFmt formatCode="0.00%" sourceLinked="1"/>
        <c:tickLblPos val="nextTo"/>
        <c:crossAx val="65726720"/>
        <c:crosses val="autoZero"/>
        <c:auto val="1"/>
        <c:lblAlgn val="ctr"/>
        <c:lblOffset val="100"/>
      </c:catAx>
      <c:valAx>
        <c:axId val="65726720"/>
        <c:scaling>
          <c:orientation val="minMax"/>
        </c:scaling>
        <c:axPos val="l"/>
        <c:majorGridlines/>
        <c:numFmt formatCode="0.00%" sourceLinked="1"/>
        <c:tickLblPos val="nextTo"/>
        <c:crossAx val="657251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'Cas 2 - LEVFI'!$F$35</c:f>
              <c:strCache>
                <c:ptCount val="1"/>
                <c:pt idx="0">
                  <c:v>Rf=BN1/CP</c:v>
                </c:pt>
              </c:strCache>
            </c:strRef>
          </c:tx>
          <c:cat>
            <c:numRef>
              <c:f>'Cas 2 - LEVFI'!$G$37:$G$50</c:f>
              <c:numCache>
                <c:formatCode>0.00%</c:formatCode>
                <c:ptCount val="14"/>
                <c:pt idx="0">
                  <c:v>5.2631578947368418E-2</c:v>
                </c:pt>
                <c:pt idx="1">
                  <c:v>0.1111111111111111</c:v>
                </c:pt>
                <c:pt idx="2">
                  <c:v>0.17647058823529413</c:v>
                </c:pt>
                <c:pt idx="3">
                  <c:v>0.25</c:v>
                </c:pt>
                <c:pt idx="4">
                  <c:v>0.33333333333333331</c:v>
                </c:pt>
                <c:pt idx="5">
                  <c:v>0.42857142857142855</c:v>
                </c:pt>
                <c:pt idx="6">
                  <c:v>0.53846153846153844</c:v>
                </c:pt>
                <c:pt idx="7">
                  <c:v>0.66666666666666663</c:v>
                </c:pt>
                <c:pt idx="8">
                  <c:v>0.81818181818181823</c:v>
                </c:pt>
                <c:pt idx="9">
                  <c:v>1</c:v>
                </c:pt>
                <c:pt idx="10">
                  <c:v>1.2222222222222223</c:v>
                </c:pt>
                <c:pt idx="11">
                  <c:v>1.5</c:v>
                </c:pt>
                <c:pt idx="12">
                  <c:v>1.8571428571428572</c:v>
                </c:pt>
                <c:pt idx="13">
                  <c:v>2.3333333333333335</c:v>
                </c:pt>
              </c:numCache>
            </c:numRef>
          </c:cat>
          <c:val>
            <c:numRef>
              <c:f>'Cas 2 - LEVFI'!$F$37:$F$50</c:f>
              <c:numCache>
                <c:formatCode>0.00%</c:formatCode>
                <c:ptCount val="14"/>
                <c:pt idx="0">
                  <c:v>0.10123313157894738</c:v>
                </c:pt>
                <c:pt idx="1">
                  <c:v>0.10222733333333334</c:v>
                </c:pt>
                <c:pt idx="2">
                  <c:v>0.10294632352941178</c:v>
                </c:pt>
                <c:pt idx="3">
                  <c:v>0.10333850000000001</c:v>
                </c:pt>
                <c:pt idx="4">
                  <c:v>0.10333850000000001</c:v>
                </c:pt>
                <c:pt idx="5">
                  <c:v>0.10286228571428573</c:v>
                </c:pt>
                <c:pt idx="6">
                  <c:v>0.10179996153846156</c:v>
                </c:pt>
                <c:pt idx="7">
                  <c:v>0.10000500000000001</c:v>
                </c:pt>
                <c:pt idx="8">
                  <c:v>9.7277590909090911E-2</c:v>
                </c:pt>
                <c:pt idx="9">
                  <c:v>9.3338000000000004E-2</c:v>
                </c:pt>
                <c:pt idx="10">
                  <c:v>8.7782166666666661E-2</c:v>
                </c:pt>
                <c:pt idx="11">
                  <c:v>8.0004000000000006E-2</c:v>
                </c:pt>
                <c:pt idx="12">
                  <c:v>6.9051071428571448E-2</c:v>
                </c:pt>
                <c:pt idx="13">
                  <c:v>5.3336000000000001E-2</c:v>
                </c:pt>
              </c:numCache>
            </c:numRef>
          </c:val>
        </c:ser>
        <c:marker val="1"/>
        <c:axId val="65829120"/>
        <c:axId val="65839104"/>
      </c:lineChart>
      <c:catAx>
        <c:axId val="65829120"/>
        <c:scaling>
          <c:orientation val="minMax"/>
        </c:scaling>
        <c:axPos val="b"/>
        <c:numFmt formatCode="0.00%" sourceLinked="1"/>
        <c:tickLblPos val="nextTo"/>
        <c:crossAx val="65839104"/>
        <c:crosses val="autoZero"/>
        <c:auto val="1"/>
        <c:lblAlgn val="ctr"/>
        <c:lblOffset val="100"/>
      </c:catAx>
      <c:valAx>
        <c:axId val="65839104"/>
        <c:scaling>
          <c:orientation val="minMax"/>
        </c:scaling>
        <c:axPos val="l"/>
        <c:majorGridlines/>
        <c:numFmt formatCode="0.00%" sourceLinked="1"/>
        <c:tickLblPos val="nextTo"/>
        <c:crossAx val="658291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'Cas 2 - LEVFI'!$F$58</c:f>
              <c:strCache>
                <c:ptCount val="1"/>
                <c:pt idx="0">
                  <c:v>Rf=BN1/CP</c:v>
                </c:pt>
              </c:strCache>
            </c:strRef>
          </c:tx>
          <c:cat>
            <c:numRef>
              <c:f>'Cas 2 - LEVFI'!$G$60:$G$69</c:f>
              <c:numCache>
                <c:formatCode>0.00%</c:formatCode>
                <c:ptCount val="10"/>
                <c:pt idx="0">
                  <c:v>0.1111111111111111</c:v>
                </c:pt>
                <c:pt idx="1">
                  <c:v>0.14285714285714285</c:v>
                </c:pt>
                <c:pt idx="2">
                  <c:v>0.17647058823529413</c:v>
                </c:pt>
                <c:pt idx="3">
                  <c:v>0.21212121212121213</c:v>
                </c:pt>
                <c:pt idx="4">
                  <c:v>0.25</c:v>
                </c:pt>
                <c:pt idx="5">
                  <c:v>0.42857142857142855</c:v>
                </c:pt>
                <c:pt idx="6">
                  <c:v>0.66666666666666663</c:v>
                </c:pt>
                <c:pt idx="7">
                  <c:v>1</c:v>
                </c:pt>
                <c:pt idx="8">
                  <c:v>1.5</c:v>
                </c:pt>
                <c:pt idx="9">
                  <c:v>2.3333333333333335</c:v>
                </c:pt>
              </c:numCache>
            </c:numRef>
          </c:cat>
          <c:val>
            <c:numRef>
              <c:f>'Cas 2 - LEVFI'!$F$60:$F$69</c:f>
              <c:numCache>
                <c:formatCode>0.00%</c:formatCode>
                <c:ptCount val="10"/>
                <c:pt idx="0">
                  <c:v>8.000400000000002E-2</c:v>
                </c:pt>
                <c:pt idx="1">
                  <c:v>7.9765892857142875E-2</c:v>
                </c:pt>
                <c:pt idx="2">
                  <c:v>7.9415735294117648E-2</c:v>
                </c:pt>
                <c:pt idx="3">
                  <c:v>7.8943340909090914E-2</c:v>
                </c:pt>
                <c:pt idx="4">
                  <c:v>7.8337249999999997E-2</c:v>
                </c:pt>
                <c:pt idx="5">
                  <c:v>7.4289428571428576E-2</c:v>
                </c:pt>
                <c:pt idx="6">
                  <c:v>6.6670000000000007E-2</c:v>
                </c:pt>
                <c:pt idx="7">
                  <c:v>5.3335999999999995E-2</c:v>
                </c:pt>
                <c:pt idx="8">
                  <c:v>3.0001499999999993E-2</c:v>
                </c:pt>
                <c:pt idx="9">
                  <c:v>-1.3334000000000013E-2</c:v>
                </c:pt>
              </c:numCache>
            </c:numRef>
          </c:val>
        </c:ser>
        <c:marker val="1"/>
        <c:axId val="65846656"/>
        <c:axId val="65860736"/>
      </c:lineChart>
      <c:catAx>
        <c:axId val="65846656"/>
        <c:scaling>
          <c:orientation val="minMax"/>
        </c:scaling>
        <c:axPos val="b"/>
        <c:numFmt formatCode="0.00%" sourceLinked="1"/>
        <c:tickLblPos val="nextTo"/>
        <c:crossAx val="65860736"/>
        <c:crosses val="autoZero"/>
        <c:auto val="1"/>
        <c:lblAlgn val="ctr"/>
        <c:lblOffset val="100"/>
      </c:catAx>
      <c:valAx>
        <c:axId val="65860736"/>
        <c:scaling>
          <c:orientation val="minMax"/>
        </c:scaling>
        <c:axPos val="l"/>
        <c:majorGridlines/>
        <c:numFmt formatCode="0.00%" sourceLinked="1"/>
        <c:tickLblPos val="nextTo"/>
        <c:crossAx val="65846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'Cas 6 - DIFF'!$F$11</c:f>
              <c:strCache>
                <c:ptCount val="1"/>
                <c:pt idx="0">
                  <c:v>CA</c:v>
                </c:pt>
              </c:strCache>
            </c:strRef>
          </c:tx>
          <c:marker>
            <c:symbol val="none"/>
          </c:marker>
          <c:cat>
            <c:numRef>
              <c:f>'Cas 6 - DIFF'!$F$12:$F$21</c:f>
              <c:numCache>
                <c:formatCode>General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'Cas 6 - DIFF'!$F$12:$F$21</c:f>
              <c:numCache>
                <c:formatCode>General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val>
        </c:ser>
        <c:ser>
          <c:idx val="1"/>
          <c:order val="1"/>
          <c:tx>
            <c:strRef>
              <c:f>'Cas 6 - DIFF'!$I$11</c:f>
              <c:strCache>
                <c:ptCount val="1"/>
                <c:pt idx="0">
                  <c:v>CV+CF</c:v>
                </c:pt>
              </c:strCache>
            </c:strRef>
          </c:tx>
          <c:marker>
            <c:symbol val="none"/>
          </c:marker>
          <c:cat>
            <c:numRef>
              <c:f>'Cas 6 - DIFF'!$F$12:$F$21</c:f>
              <c:numCache>
                <c:formatCode>General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'Cas 6 - DIFF'!$I$12:$I$21</c:f>
              <c:numCache>
                <c:formatCode>General</c:formatCode>
                <c:ptCount val="10"/>
                <c:pt idx="0">
                  <c:v>236538.46153846153</c:v>
                </c:pt>
                <c:pt idx="1">
                  <c:v>298076.92307692306</c:v>
                </c:pt>
                <c:pt idx="2">
                  <c:v>359615.38461538462</c:v>
                </c:pt>
                <c:pt idx="3">
                  <c:v>421153.84615384613</c:v>
                </c:pt>
                <c:pt idx="4">
                  <c:v>482692.30769230769</c:v>
                </c:pt>
                <c:pt idx="5">
                  <c:v>544230.76923076925</c:v>
                </c:pt>
                <c:pt idx="6">
                  <c:v>605769.23076923075</c:v>
                </c:pt>
                <c:pt idx="7">
                  <c:v>667307.69230769225</c:v>
                </c:pt>
                <c:pt idx="8">
                  <c:v>728846.15384615387</c:v>
                </c:pt>
                <c:pt idx="9">
                  <c:v>790384.61538461538</c:v>
                </c:pt>
              </c:numCache>
            </c:numRef>
          </c:val>
        </c:ser>
        <c:marker val="1"/>
        <c:axId val="66263296"/>
        <c:axId val="71991680"/>
      </c:lineChart>
      <c:catAx>
        <c:axId val="66263296"/>
        <c:scaling>
          <c:orientation val="minMax"/>
        </c:scaling>
        <c:axPos val="b"/>
        <c:numFmt formatCode="General" sourceLinked="1"/>
        <c:tickLblPos val="nextTo"/>
        <c:crossAx val="71991680"/>
        <c:crosses val="autoZero"/>
        <c:auto val="1"/>
        <c:lblAlgn val="ctr"/>
        <c:lblOffset val="100"/>
      </c:catAx>
      <c:valAx>
        <c:axId val="71991680"/>
        <c:scaling>
          <c:orientation val="minMax"/>
        </c:scaling>
        <c:axPos val="l"/>
        <c:majorGridlines/>
        <c:numFmt formatCode="General" sourceLinked="1"/>
        <c:tickLblPos val="nextTo"/>
        <c:crossAx val="66263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15</xdr:row>
      <xdr:rowOff>152400</xdr:rowOff>
    </xdr:from>
    <xdr:to>
      <xdr:col>5</xdr:col>
      <xdr:colOff>752475</xdr:colOff>
      <xdr:row>30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33</xdr:row>
      <xdr:rowOff>76200</xdr:rowOff>
    </xdr:from>
    <xdr:to>
      <xdr:col>17</xdr:col>
      <xdr:colOff>85724</xdr:colOff>
      <xdr:row>50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438149</xdr:colOff>
      <xdr:row>53</xdr:row>
      <xdr:rowOff>180974</xdr:rowOff>
    </xdr:from>
    <xdr:to>
      <xdr:col>17</xdr:col>
      <xdr:colOff>266700</xdr:colOff>
      <xdr:row>70</xdr:row>
      <xdr:rowOff>19049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60</xdr:row>
      <xdr:rowOff>149225</xdr:rowOff>
    </xdr:from>
    <xdr:to>
      <xdr:col>4</xdr:col>
      <xdr:colOff>1962150</xdr:colOff>
      <xdr:row>63</xdr:row>
      <xdr:rowOff>53975</xdr:rowOff>
    </xdr:to>
    <xdr:sp macro="" textlink="">
      <xdr:nvSpPr>
        <xdr:cNvPr id="2" name="Espace réservé du numéro de diapositive 5"/>
        <xdr:cNvSpPr>
          <a:spLocks noGrp="1"/>
        </xdr:cNvSpPr>
      </xdr:nvSpPr>
      <xdr:spPr bwMode="auto">
        <a:xfrm>
          <a:off x="6267450" y="12065000"/>
          <a:ext cx="2133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fr-FR"/>
          </a:defPPr>
          <a:lvl1pPr algn="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3</xdr:col>
      <xdr:colOff>180975</xdr:colOff>
      <xdr:row>12</xdr:row>
      <xdr:rowOff>9525</xdr:rowOff>
    </xdr:from>
    <xdr:to>
      <xdr:col>8</xdr:col>
      <xdr:colOff>9525</xdr:colOff>
      <xdr:row>14</xdr:row>
      <xdr:rowOff>147638</xdr:rowOff>
    </xdr:to>
    <xdr:sp macro="" textlink="">
      <xdr:nvSpPr>
        <xdr:cNvPr id="3" name="Rectangle 2"/>
        <xdr:cNvSpPr>
          <a:spLocks noGrp="1" noChangeArrowheads="1"/>
        </xdr:cNvSpPr>
      </xdr:nvSpPr>
      <xdr:spPr bwMode="auto">
        <a:xfrm>
          <a:off x="6619875" y="3162300"/>
          <a:ext cx="6448425" cy="51911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ctr" rtl="0" fontAlgn="base">
            <a:spcBef>
              <a:spcPct val="0"/>
            </a:spcBef>
            <a:spcAft>
              <a:spcPct val="0"/>
            </a:spcAft>
            <a:defRPr sz="4400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ctr" rtl="0" fontAlgn="base">
            <a:spcBef>
              <a:spcPct val="0"/>
            </a:spcBef>
            <a:spcAft>
              <a:spcPct val="0"/>
            </a:spcAft>
            <a:defRPr sz="4400">
              <a:solidFill>
                <a:schemeClr val="tx2"/>
              </a:solidFill>
              <a:latin typeface="Arial" charset="0"/>
            </a:defRPr>
          </a:lvl2pPr>
          <a:lvl3pPr algn="ctr" rtl="0" fontAlgn="base">
            <a:spcBef>
              <a:spcPct val="0"/>
            </a:spcBef>
            <a:spcAft>
              <a:spcPct val="0"/>
            </a:spcAft>
            <a:defRPr sz="4400">
              <a:solidFill>
                <a:schemeClr val="tx2"/>
              </a:solidFill>
              <a:latin typeface="Arial" charset="0"/>
            </a:defRPr>
          </a:lvl3pPr>
          <a:lvl4pPr algn="ctr" rtl="0" fontAlgn="base">
            <a:spcBef>
              <a:spcPct val="0"/>
            </a:spcBef>
            <a:spcAft>
              <a:spcPct val="0"/>
            </a:spcAft>
            <a:defRPr sz="4400">
              <a:solidFill>
                <a:schemeClr val="tx2"/>
              </a:solidFill>
              <a:latin typeface="Arial" charset="0"/>
            </a:defRPr>
          </a:lvl4pPr>
          <a:lvl5pPr algn="ctr" rtl="0" fontAlgn="base">
            <a:spcBef>
              <a:spcPct val="0"/>
            </a:spcBef>
            <a:spcAft>
              <a:spcPct val="0"/>
            </a:spcAft>
            <a:defRPr sz="4400">
              <a:solidFill>
                <a:schemeClr val="tx2"/>
              </a:solidFill>
              <a:latin typeface="Arial" charset="0"/>
            </a:defRPr>
          </a:lvl5pPr>
          <a:lvl6pPr marL="457200" algn="ctr" rtl="0" fontAlgn="base">
            <a:spcBef>
              <a:spcPct val="0"/>
            </a:spcBef>
            <a:spcAft>
              <a:spcPct val="0"/>
            </a:spcAft>
            <a:defRPr sz="4400">
              <a:solidFill>
                <a:schemeClr val="tx2"/>
              </a:solidFill>
              <a:latin typeface="Arial" charset="0"/>
            </a:defRPr>
          </a:lvl6pPr>
          <a:lvl7pPr marL="914400" algn="ctr" rtl="0" fontAlgn="base">
            <a:spcBef>
              <a:spcPct val="0"/>
            </a:spcBef>
            <a:spcAft>
              <a:spcPct val="0"/>
            </a:spcAft>
            <a:defRPr sz="4400">
              <a:solidFill>
                <a:schemeClr val="tx2"/>
              </a:solidFill>
              <a:latin typeface="Arial" charset="0"/>
            </a:defRPr>
          </a:lvl7pPr>
          <a:lvl8pPr marL="1371600" algn="ctr" rtl="0" fontAlgn="base">
            <a:spcBef>
              <a:spcPct val="0"/>
            </a:spcBef>
            <a:spcAft>
              <a:spcPct val="0"/>
            </a:spcAft>
            <a:defRPr sz="4400">
              <a:solidFill>
                <a:schemeClr val="tx2"/>
              </a:solidFill>
              <a:latin typeface="Arial" charset="0"/>
            </a:defRPr>
          </a:lvl8pPr>
          <a:lvl9pPr marL="1828800" algn="ctr" rtl="0" fontAlgn="base">
            <a:spcBef>
              <a:spcPct val="0"/>
            </a:spcBef>
            <a:spcAft>
              <a:spcPct val="0"/>
            </a:spcAft>
            <a:defRPr sz="4400">
              <a:solidFill>
                <a:schemeClr val="tx2"/>
              </a:solidFill>
              <a:latin typeface="Arial" charset="0"/>
            </a:defRPr>
          </a:lvl9pPr>
        </a:lstStyle>
        <a:p>
          <a:r>
            <a:rPr lang="fr-FR" sz="2000"/>
            <a:t>Résumé des définitions et des formules liées à la croissance</a:t>
          </a:r>
        </a:p>
      </xdr:txBody>
    </xdr:sp>
    <xdr:clientData/>
  </xdr:twoCellAnchor>
  <xdr:twoCellAnchor>
    <xdr:from>
      <xdr:col>3</xdr:col>
      <xdr:colOff>87313</xdr:colOff>
      <xdr:row>27</xdr:row>
      <xdr:rowOff>106363</xdr:rowOff>
    </xdr:from>
    <xdr:to>
      <xdr:col>7</xdr:col>
      <xdr:colOff>1597025</xdr:colOff>
      <xdr:row>28</xdr:row>
      <xdr:rowOff>185232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611813" y="5735638"/>
          <a:ext cx="6681787" cy="26936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>
          <a:spAutoFit/>
        </a:bodyPr>
        <a:lstStyle>
          <a:defPPr>
            <a:defRPr lang="fr-FR"/>
          </a:defPPr>
          <a:lvl1pPr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endParaRPr lang="fr-FR" sz="1200">
            <a:cs typeface="Arial" charset="0"/>
          </a:endParaRPr>
        </a:p>
      </xdr:txBody>
    </xdr:sp>
    <xdr:clientData/>
  </xdr:twoCellAnchor>
  <xdr:twoCellAnchor>
    <xdr:from>
      <xdr:col>3</xdr:col>
      <xdr:colOff>0</xdr:colOff>
      <xdr:row>14</xdr:row>
      <xdr:rowOff>173038</xdr:rowOff>
    </xdr:from>
    <xdr:to>
      <xdr:col>7</xdr:col>
      <xdr:colOff>2111375</xdr:colOff>
      <xdr:row>23</xdr:row>
      <xdr:rowOff>144192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6373813"/>
          <a:ext cx="8550275" cy="168565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>
          <a:spAutoFit/>
        </a:bodyPr>
        <a:lstStyle>
          <a:defPPr>
            <a:defRPr lang="fr-FR"/>
          </a:defPPr>
          <a:lvl1pPr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r>
            <a:rPr lang="fr-FR" sz="1200" b="1"/>
            <a:t>Définitions</a:t>
          </a:r>
        </a:p>
        <a:p>
          <a:endParaRPr lang="fr-FR" sz="1200" b="1"/>
        </a:p>
        <a:p>
          <a:r>
            <a:rPr lang="fr-FR" sz="1200"/>
            <a:t>CAF = capacité d'autofinancement = BN1 + Amortissements – Dividendes distribués sur BN1</a:t>
          </a:r>
        </a:p>
        <a:p>
          <a:r>
            <a:rPr lang="fr-FR" sz="1200"/>
            <a:t>Dividendes distribués sur BN1 = (1-p)BN1 avec p = taux de rétention</a:t>
          </a:r>
        </a:p>
        <a:p>
          <a:r>
            <a:rPr lang="fr-FR" sz="1200"/>
            <a:t>CAF = pBN1+ Amortissements </a:t>
          </a:r>
        </a:p>
        <a:p>
          <a:r>
            <a:rPr lang="fr-FR" sz="1200"/>
            <a:t>a = CAF/CA ; b = BFR/CA; </a:t>
          </a:r>
        </a:p>
        <a:p>
          <a:r>
            <a:rPr lang="fr-FR" sz="1200"/>
            <a:t>c = taux de croissance du CA par autofinancement = (CAn+1 – CAn)/CAn</a:t>
          </a:r>
        </a:p>
        <a:p>
          <a:r>
            <a:rPr lang="fr-FR" sz="1200"/>
            <a:t>t = facteur de croissance = CAn+1/CAn</a:t>
          </a:r>
        </a:p>
        <a:p>
          <a:r>
            <a:rPr lang="fr-FR" sz="1200"/>
            <a:t>c = (t -1)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10</xdr:row>
      <xdr:rowOff>1</xdr:rowOff>
    </xdr:from>
    <xdr:to>
      <xdr:col>17</xdr:col>
      <xdr:colOff>0</xdr:colOff>
      <xdr:row>22</xdr:row>
      <xdr:rowOff>180976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C34" sqref="C34"/>
    </sheetView>
  </sheetViews>
  <sheetFormatPr baseColWidth="10" defaultRowHeight="15"/>
  <cols>
    <col min="1" max="1" width="37.140625" customWidth="1"/>
    <col min="2" max="2" width="13.140625" customWidth="1"/>
    <col min="3" max="3" width="66" customWidth="1"/>
    <col min="4" max="5" width="15.28515625" customWidth="1"/>
    <col min="6" max="6" width="46.85546875" customWidth="1"/>
    <col min="7" max="7" width="12" customWidth="1"/>
  </cols>
  <sheetData>
    <row r="1" spans="1:7" ht="15.75" thickBot="1">
      <c r="C1" s="187" t="s">
        <v>0</v>
      </c>
      <c r="D1" s="188"/>
      <c r="E1" s="187" t="s">
        <v>1</v>
      </c>
      <c r="F1" s="189"/>
      <c r="G1" s="188"/>
    </row>
    <row r="2" spans="1:7" ht="15.75" thickBot="1">
      <c r="A2" s="185" t="s">
        <v>2</v>
      </c>
      <c r="B2" s="186"/>
      <c r="C2" s="26"/>
      <c r="D2" s="14"/>
      <c r="E2" s="8" t="s">
        <v>3</v>
      </c>
      <c r="F2" s="32"/>
      <c r="G2" s="19">
        <v>0.15</v>
      </c>
    </row>
    <row r="3" spans="1:7">
      <c r="A3" s="26" t="s">
        <v>4</v>
      </c>
      <c r="B3" s="40">
        <v>34576</v>
      </c>
      <c r="C3" s="27" t="s">
        <v>5</v>
      </c>
      <c r="D3" s="15">
        <f>(B3/(1-B8))</f>
        <v>51863.999999999993</v>
      </c>
      <c r="E3" s="8" t="s">
        <v>6</v>
      </c>
      <c r="F3" s="2"/>
      <c r="G3" s="16">
        <f>(G2/(D7*(1-B8))+D8*(B4/B5))/(1+B4/B5)</f>
        <v>0.15357441146612794</v>
      </c>
    </row>
    <row r="4" spans="1:7">
      <c r="A4" s="27" t="s">
        <v>7</v>
      </c>
      <c r="B4" s="40">
        <v>387083</v>
      </c>
      <c r="C4" s="27" t="s">
        <v>8</v>
      </c>
      <c r="D4" s="23">
        <f>D3+B7</f>
        <v>83728</v>
      </c>
      <c r="E4" s="8" t="s">
        <v>9</v>
      </c>
      <c r="F4" s="2"/>
      <c r="G4" s="16">
        <f>(G2/(D7*(1-B8))-D5)/(D5-D8)</f>
        <v>2.4624845605362609</v>
      </c>
    </row>
    <row r="5" spans="1:7">
      <c r="A5" s="27" t="s">
        <v>10</v>
      </c>
      <c r="B5" s="40">
        <v>197380</v>
      </c>
      <c r="C5" s="27" t="s">
        <v>11</v>
      </c>
      <c r="D5" s="16">
        <f>D4/(B4+B5)</f>
        <v>0.14325628825092435</v>
      </c>
      <c r="E5" s="8" t="s">
        <v>12</v>
      </c>
      <c r="F5" s="2"/>
      <c r="G5" s="4">
        <f>G2/((1-B8)*(D5*(1+B4/B5)-D8*(B4/B5)))</f>
        <v>0.85628759833410473</v>
      </c>
    </row>
    <row r="6" spans="1:7">
      <c r="A6" s="27" t="s">
        <v>13</v>
      </c>
      <c r="B6" s="40">
        <v>8053</v>
      </c>
      <c r="C6" s="27" t="s">
        <v>14</v>
      </c>
      <c r="D6" s="16">
        <f>B4/B5</f>
        <v>1.9611054818117337</v>
      </c>
      <c r="E6" s="8" t="s">
        <v>15</v>
      </c>
      <c r="F6" s="2"/>
      <c r="G6" s="4">
        <f>(D5*(1+B4/B5)-G2/(D7*(1-B8)))/(B4/B5)</f>
        <v>6.6738758228267525E-2</v>
      </c>
    </row>
    <row r="7" spans="1:7">
      <c r="A7" s="27" t="s">
        <v>16</v>
      </c>
      <c r="B7" s="40">
        <v>31864</v>
      </c>
      <c r="C7" s="27" t="s">
        <v>350</v>
      </c>
      <c r="D7" s="16">
        <f>(B3-B6)/B3</f>
        <v>0.76709278111985191</v>
      </c>
      <c r="E7" s="8"/>
      <c r="F7" s="2"/>
      <c r="G7" s="17"/>
    </row>
    <row r="8" spans="1:7" ht="15.75" thickBot="1">
      <c r="A8" s="28" t="s">
        <v>18</v>
      </c>
      <c r="B8" s="41">
        <f>1/3</f>
        <v>0.33333333333333331</v>
      </c>
      <c r="C8" s="27" t="s">
        <v>19</v>
      </c>
      <c r="D8" s="16">
        <f>B7/B4</f>
        <v>8.2318262491506991E-2</v>
      </c>
      <c r="E8" s="8" t="s">
        <v>20</v>
      </c>
      <c r="F8" s="2"/>
      <c r="G8" s="16">
        <f>(G3-D5)/D5</f>
        <v>7.2025621640640358E-2</v>
      </c>
    </row>
    <row r="9" spans="1:7">
      <c r="C9" s="27"/>
      <c r="D9" s="17"/>
      <c r="E9" s="8" t="s">
        <v>21</v>
      </c>
      <c r="F9" s="2"/>
      <c r="G9" s="16">
        <f>(G4-D6)/D6</f>
        <v>0.25566145389657302</v>
      </c>
    </row>
    <row r="10" spans="1:7" ht="15.75" thickBot="1">
      <c r="C10" s="27" t="s">
        <v>23</v>
      </c>
      <c r="D10" s="16">
        <f>D7*(1-B8)*D5</f>
        <v>7.3260576378205822E-2</v>
      </c>
      <c r="E10" s="8" t="s">
        <v>24</v>
      </c>
      <c r="F10" s="2"/>
      <c r="G10" s="16">
        <f>(G5-D7)/D7</f>
        <v>0.11627643931681958</v>
      </c>
    </row>
    <row r="11" spans="1:7" ht="15.75" thickBot="1">
      <c r="A11" s="26" t="s">
        <v>55</v>
      </c>
      <c r="B11" s="35">
        <f>B4+B5</f>
        <v>584463</v>
      </c>
      <c r="C11" s="27" t="s">
        <v>26</v>
      </c>
      <c r="D11" s="16">
        <f>D7*(1-B8)*((B4/B5)*(D5-D8))</f>
        <v>6.111474026988415E-2</v>
      </c>
      <c r="E11" s="10" t="s">
        <v>27</v>
      </c>
      <c r="F11" s="33"/>
      <c r="G11" s="18">
        <f>(G6-D8)/D8</f>
        <v>-0.18925939143633952</v>
      </c>
    </row>
    <row r="12" spans="1:7">
      <c r="A12" s="27" t="s">
        <v>22</v>
      </c>
      <c r="B12" s="36">
        <f>(B3/B5)*D7</f>
        <v>0.13437531664808997</v>
      </c>
      <c r="C12" s="29" t="s">
        <v>29</v>
      </c>
      <c r="D12" s="16">
        <f>D7*B3/B5</f>
        <v>0.13437531664808997</v>
      </c>
    </row>
    <row r="13" spans="1:7" ht="15.75" thickBot="1">
      <c r="A13" s="39" t="s">
        <v>25</v>
      </c>
      <c r="B13" s="38">
        <f>B12/D7</f>
        <v>0.17517478974566825</v>
      </c>
      <c r="C13" s="30" t="s">
        <v>31</v>
      </c>
      <c r="D13" s="18">
        <f>B3/B5</f>
        <v>0.17517478974566825</v>
      </c>
    </row>
    <row r="14" spans="1:7" ht="15.75" thickBot="1">
      <c r="G14" s="6"/>
    </row>
    <row r="15" spans="1:7" ht="15.75" thickBot="1">
      <c r="A15" s="42" t="s">
        <v>56</v>
      </c>
      <c r="C15" s="187" t="s">
        <v>34</v>
      </c>
      <c r="D15" s="188"/>
    </row>
    <row r="16" spans="1:7">
      <c r="A16" t="s">
        <v>36</v>
      </c>
      <c r="C16" s="31"/>
      <c r="D16" s="14"/>
    </row>
    <row r="17" spans="1:6">
      <c r="A17" t="s">
        <v>57</v>
      </c>
      <c r="C17" s="27" t="s">
        <v>17</v>
      </c>
      <c r="D17" s="21">
        <v>1</v>
      </c>
      <c r="F17" t="str">
        <f>"IS="&amp;D3-B3</f>
        <v>IS=17288</v>
      </c>
    </row>
    <row r="18" spans="1:6">
      <c r="A18" t="s">
        <v>38</v>
      </c>
      <c r="C18" s="29" t="s">
        <v>37</v>
      </c>
      <c r="D18" s="16">
        <f>D17*(1-B8)*(D5+B4/B5*(D5-D8))</f>
        <v>0.17517478974566827</v>
      </c>
    </row>
    <row r="19" spans="1:6" ht="15.75" thickBot="1">
      <c r="A19" t="s">
        <v>40</v>
      </c>
      <c r="C19" s="28"/>
      <c r="D19" s="43"/>
    </row>
    <row r="20" spans="1:6" ht="15.75" thickBot="1">
      <c r="A20" t="s">
        <v>42</v>
      </c>
      <c r="C20" s="187" t="s">
        <v>39</v>
      </c>
      <c r="D20" s="188"/>
    </row>
    <row r="21" spans="1:6">
      <c r="A21" t="s">
        <v>44</v>
      </c>
      <c r="C21" s="26" t="s">
        <v>41</v>
      </c>
      <c r="D21" s="9">
        <v>2000000</v>
      </c>
      <c r="E21" s="184"/>
    </row>
    <row r="22" spans="1:6">
      <c r="A22" t="s">
        <v>46</v>
      </c>
      <c r="C22" s="27" t="s">
        <v>43</v>
      </c>
      <c r="D22" s="21">
        <v>0.4</v>
      </c>
    </row>
    <row r="23" spans="1:6">
      <c r="C23" s="27" t="s">
        <v>45</v>
      </c>
      <c r="D23" s="14"/>
    </row>
    <row r="24" spans="1:6">
      <c r="C24" s="29" t="s">
        <v>47</v>
      </c>
      <c r="D24" s="22">
        <f>(G3*(B4+B5))</f>
        <v>89758.561248727536</v>
      </c>
      <c r="E24" s="6"/>
    </row>
    <row r="25" spans="1:6">
      <c r="C25" s="29" t="s">
        <v>48</v>
      </c>
      <c r="D25" s="23">
        <f>(D24+D21)/D22</f>
        <v>5224396.4031218188</v>
      </c>
    </row>
    <row r="26" spans="1:6" ht="15.75" thickBot="1">
      <c r="C26" s="30" t="s">
        <v>49</v>
      </c>
      <c r="D26" s="11">
        <v>0.19550000000000001</v>
      </c>
    </row>
    <row r="27" spans="1:6" ht="15.75" thickBot="1"/>
    <row r="28" spans="1:6" ht="15.75" thickBot="1">
      <c r="C28" s="185" t="s">
        <v>50</v>
      </c>
      <c r="D28" s="186"/>
      <c r="F28" t="s">
        <v>51</v>
      </c>
    </row>
    <row r="29" spans="1:6">
      <c r="C29" s="29" t="s">
        <v>48</v>
      </c>
      <c r="D29" s="24">
        <f>(D24+D21)/D22</f>
        <v>5224396.4031218188</v>
      </c>
      <c r="E29" s="6">
        <f>D29-F29</f>
        <v>89758.561248728074</v>
      </c>
      <c r="F29" s="6">
        <f>D31+D30</f>
        <v>5134637.8418730907</v>
      </c>
    </row>
    <row r="30" spans="1:6">
      <c r="C30" s="29" t="s">
        <v>52</v>
      </c>
      <c r="D30" s="24">
        <f>D29*D22-D24</f>
        <v>2000000</v>
      </c>
      <c r="E30" s="6"/>
    </row>
    <row r="31" spans="1:6">
      <c r="C31" s="29" t="s">
        <v>53</v>
      </c>
      <c r="D31" s="24">
        <f>(1-D22)*D29</f>
        <v>3134637.8418730912</v>
      </c>
      <c r="E31" s="6">
        <f>-D24+D25-D21</f>
        <v>3134637.8418730916</v>
      </c>
    </row>
    <row r="32" spans="1:6" ht="15.75" thickBot="1">
      <c r="C32" s="30" t="s">
        <v>54</v>
      </c>
      <c r="D32" s="25">
        <f>D29*D22-D30</f>
        <v>89758.561248727608</v>
      </c>
    </row>
    <row r="33" spans="1:2">
      <c r="A33" t="s">
        <v>28</v>
      </c>
    </row>
    <row r="34" spans="1:2">
      <c r="A34" t="s">
        <v>30</v>
      </c>
    </row>
    <row r="35" spans="1:2">
      <c r="A35" t="s">
        <v>32</v>
      </c>
    </row>
    <row r="36" spans="1:2">
      <c r="A36" t="s">
        <v>33</v>
      </c>
    </row>
    <row r="37" spans="1:2">
      <c r="A37" t="s">
        <v>35</v>
      </c>
    </row>
    <row r="41" spans="1:2">
      <c r="B41" s="44" t="s">
        <v>75</v>
      </c>
    </row>
    <row r="42" spans="1:2">
      <c r="B42" s="1" t="s">
        <v>58</v>
      </c>
    </row>
    <row r="43" spans="1:2">
      <c r="B43" s="1" t="s">
        <v>59</v>
      </c>
    </row>
    <row r="44" spans="1:2">
      <c r="B44" s="1" t="s">
        <v>60</v>
      </c>
    </row>
    <row r="45" spans="1:2">
      <c r="B45" s="1" t="s">
        <v>61</v>
      </c>
    </row>
    <row r="46" spans="1:2">
      <c r="B46" s="1" t="s">
        <v>62</v>
      </c>
    </row>
    <row r="47" spans="1:2">
      <c r="B47" s="1" t="s">
        <v>63</v>
      </c>
    </row>
    <row r="48" spans="1:2">
      <c r="B48" s="1" t="s">
        <v>64</v>
      </c>
    </row>
    <row r="49" spans="2:2">
      <c r="B49" s="1" t="s">
        <v>65</v>
      </c>
    </row>
    <row r="50" spans="2:2">
      <c r="B50" s="1"/>
    </row>
    <row r="51" spans="2:2">
      <c r="B51" s="1"/>
    </row>
    <row r="52" spans="2:2">
      <c r="B52" s="1" t="s">
        <v>66</v>
      </c>
    </row>
    <row r="53" spans="2:2">
      <c r="B53" s="1"/>
    </row>
    <row r="54" spans="2:2">
      <c r="B54" s="1" t="s">
        <v>67</v>
      </c>
    </row>
    <row r="55" spans="2:2">
      <c r="B55" s="1" t="s">
        <v>68</v>
      </c>
    </row>
    <row r="56" spans="2:2">
      <c r="B56" s="1" t="s">
        <v>69</v>
      </c>
    </row>
    <row r="64" spans="2:2">
      <c r="B64" t="s">
        <v>70</v>
      </c>
    </row>
    <row r="65" spans="2:2">
      <c r="B65" t="s">
        <v>71</v>
      </c>
    </row>
    <row r="66" spans="2:2">
      <c r="B66" t="s">
        <v>72</v>
      </c>
    </row>
    <row r="67" spans="2:2">
      <c r="B67" t="s">
        <v>73</v>
      </c>
    </row>
    <row r="68" spans="2:2">
      <c r="B68" t="s">
        <v>74</v>
      </c>
    </row>
  </sheetData>
  <mergeCells count="6">
    <mergeCell ref="A2:B2"/>
    <mergeCell ref="C28:D28"/>
    <mergeCell ref="C1:D1"/>
    <mergeCell ref="E1:G1"/>
    <mergeCell ref="C15:D15"/>
    <mergeCell ref="C20:D2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1"/>
  <sheetViews>
    <sheetView topLeftCell="A35" workbookViewId="0">
      <selection activeCell="S55" sqref="S55"/>
    </sheetView>
  </sheetViews>
  <sheetFormatPr baseColWidth="10" defaultRowHeight="15"/>
  <cols>
    <col min="5" max="5" width="24.42578125" customWidth="1"/>
    <col min="8" max="8" width="15.42578125" customWidth="1"/>
  </cols>
  <sheetData>
    <row r="1" spans="1:12">
      <c r="A1" t="s">
        <v>84</v>
      </c>
      <c r="B1" s="45">
        <v>0.33329999999999999</v>
      </c>
      <c r="L1" t="s">
        <v>76</v>
      </c>
    </row>
    <row r="2" spans="1:12" ht="15.75" thickBot="1">
      <c r="A2" t="s">
        <v>85</v>
      </c>
      <c r="B2" s="46">
        <v>1.8</v>
      </c>
      <c r="C2" t="s">
        <v>86</v>
      </c>
      <c r="D2" t="s">
        <v>86</v>
      </c>
      <c r="L2" t="s">
        <v>77</v>
      </c>
    </row>
    <row r="3" spans="1:12" ht="15.75" thickBot="1">
      <c r="A3" s="47" t="s">
        <v>87</v>
      </c>
      <c r="B3" s="48" t="s">
        <v>88</v>
      </c>
      <c r="C3" s="48" t="s">
        <v>89</v>
      </c>
      <c r="D3" s="48" t="s">
        <v>90</v>
      </c>
      <c r="E3" s="48" t="s">
        <v>91</v>
      </c>
      <c r="F3" s="48" t="s">
        <v>92</v>
      </c>
      <c r="G3" s="48" t="s">
        <v>93</v>
      </c>
      <c r="H3" s="49" t="s">
        <v>94</v>
      </c>
      <c r="L3" t="s">
        <v>78</v>
      </c>
    </row>
    <row r="4" spans="1:12">
      <c r="A4" s="34">
        <v>10</v>
      </c>
      <c r="B4" s="12">
        <v>0</v>
      </c>
      <c r="C4" s="12"/>
      <c r="D4" s="12"/>
      <c r="E4" s="12"/>
      <c r="F4" s="12"/>
      <c r="G4" s="12">
        <f>B4/A4</f>
        <v>0</v>
      </c>
      <c r="H4" s="7"/>
      <c r="L4" t="s">
        <v>79</v>
      </c>
    </row>
    <row r="5" spans="1:12">
      <c r="A5" s="8">
        <v>9</v>
      </c>
      <c r="B5" s="3">
        <v>1</v>
      </c>
      <c r="C5" s="50">
        <v>0.12</v>
      </c>
      <c r="D5" s="51">
        <f>B5*C5</f>
        <v>0.12</v>
      </c>
      <c r="E5" s="51">
        <f>($B$2-D5)*(1-$B$1)</f>
        <v>1.1200560000000002</v>
      </c>
      <c r="F5" s="52">
        <f>E5/A5</f>
        <v>0.12445066666666668</v>
      </c>
      <c r="G5" s="52">
        <f>(B5/A5)</f>
        <v>0.1111111111111111</v>
      </c>
      <c r="H5" s="36" t="str">
        <f>IF(($B$2/1000000)/(B5+A5)&gt;C5,"levier","pas de levier")</f>
        <v>pas de levier</v>
      </c>
      <c r="L5" t="s">
        <v>80</v>
      </c>
    </row>
    <row r="6" spans="1:12">
      <c r="A6" s="8">
        <v>8</v>
      </c>
      <c r="B6" s="3">
        <v>2</v>
      </c>
      <c r="C6" s="50">
        <v>0.13</v>
      </c>
      <c r="D6" s="51">
        <f t="shared" ref="D6:D11" si="0">B6*C6</f>
        <v>0.26</v>
      </c>
      <c r="E6" s="51">
        <f t="shared" ref="E6:E11" si="1">($B$2-D6)*(1-$B$1)</f>
        <v>1.0267180000000002</v>
      </c>
      <c r="F6" s="52">
        <f t="shared" ref="F6:F11" si="2">E6/A6</f>
        <v>0.12833975000000003</v>
      </c>
      <c r="G6" s="52">
        <f t="shared" ref="G6:G11" si="3">(B6/A6)</f>
        <v>0.25</v>
      </c>
      <c r="H6" s="36" t="str">
        <f t="shared" ref="H6:H11" si="4">IF(($B$2/1000000)/(B6+A6)&gt;C6,"levier","pas de levier")</f>
        <v>pas de levier</v>
      </c>
      <c r="L6" t="s">
        <v>81</v>
      </c>
    </row>
    <row r="7" spans="1:12">
      <c r="A7" s="8">
        <v>7</v>
      </c>
      <c r="B7" s="3">
        <v>3</v>
      </c>
      <c r="C7" s="50">
        <v>0.14000000000000001</v>
      </c>
      <c r="D7" s="51">
        <f t="shared" si="0"/>
        <v>0.42000000000000004</v>
      </c>
      <c r="E7" s="51">
        <f t="shared" si="1"/>
        <v>0.92004600000000003</v>
      </c>
      <c r="F7" s="52">
        <f t="shared" si="2"/>
        <v>0.13143514285714286</v>
      </c>
      <c r="G7" s="52">
        <f t="shared" si="3"/>
        <v>0.42857142857142855</v>
      </c>
      <c r="H7" s="36" t="str">
        <f t="shared" si="4"/>
        <v>pas de levier</v>
      </c>
      <c r="L7" t="s">
        <v>78</v>
      </c>
    </row>
    <row r="8" spans="1:12">
      <c r="A8" s="56">
        <v>6</v>
      </c>
      <c r="B8" s="57">
        <v>4</v>
      </c>
      <c r="C8" s="50">
        <v>0.15</v>
      </c>
      <c r="D8" s="51">
        <f t="shared" si="0"/>
        <v>0.6</v>
      </c>
      <c r="E8" s="51">
        <f t="shared" si="1"/>
        <v>0.8000400000000002</v>
      </c>
      <c r="F8" s="52">
        <f t="shared" si="2"/>
        <v>0.13334000000000004</v>
      </c>
      <c r="G8" s="52">
        <f t="shared" si="3"/>
        <v>0.66666666666666663</v>
      </c>
      <c r="H8" s="36" t="str">
        <f t="shared" si="4"/>
        <v>pas de levier</v>
      </c>
      <c r="L8" t="s">
        <v>5</v>
      </c>
    </row>
    <row r="9" spans="1:12">
      <c r="A9" s="8">
        <v>5</v>
      </c>
      <c r="B9" s="3">
        <v>5</v>
      </c>
      <c r="C9" s="50">
        <v>0.16</v>
      </c>
      <c r="D9" s="51">
        <f t="shared" si="0"/>
        <v>0.8</v>
      </c>
      <c r="E9" s="51">
        <f t="shared" si="1"/>
        <v>0.66670000000000007</v>
      </c>
      <c r="F9" s="52">
        <f t="shared" si="2"/>
        <v>0.13334000000000001</v>
      </c>
      <c r="G9" s="52">
        <f t="shared" si="3"/>
        <v>1</v>
      </c>
      <c r="H9" s="36" t="str">
        <f t="shared" si="4"/>
        <v>pas de levier</v>
      </c>
      <c r="L9" t="s">
        <v>8</v>
      </c>
    </row>
    <row r="10" spans="1:12">
      <c r="A10" s="8">
        <v>4</v>
      </c>
      <c r="B10" s="3">
        <v>6</v>
      </c>
      <c r="C10" s="50">
        <v>0.17</v>
      </c>
      <c r="D10" s="51">
        <f t="shared" si="0"/>
        <v>1.02</v>
      </c>
      <c r="E10" s="51">
        <f t="shared" si="1"/>
        <v>0.5200260000000001</v>
      </c>
      <c r="F10" s="52">
        <f t="shared" si="2"/>
        <v>0.13000650000000002</v>
      </c>
      <c r="G10" s="52">
        <f t="shared" si="3"/>
        <v>1.5</v>
      </c>
      <c r="H10" s="36" t="str">
        <f t="shared" si="4"/>
        <v>pas de levier</v>
      </c>
      <c r="L10" t="s">
        <v>82</v>
      </c>
    </row>
    <row r="11" spans="1:12" ht="15.75" thickBot="1">
      <c r="A11" s="10">
        <v>3</v>
      </c>
      <c r="B11" s="20">
        <v>7</v>
      </c>
      <c r="C11" s="13">
        <v>0.18</v>
      </c>
      <c r="D11" s="53">
        <f t="shared" si="0"/>
        <v>1.26</v>
      </c>
      <c r="E11" s="53">
        <f t="shared" si="1"/>
        <v>0.36001800000000006</v>
      </c>
      <c r="F11" s="54">
        <f t="shared" si="2"/>
        <v>0.12000600000000002</v>
      </c>
      <c r="G11" s="54">
        <f t="shared" si="3"/>
        <v>2.3333333333333335</v>
      </c>
      <c r="H11" s="38" t="str">
        <f t="shared" si="4"/>
        <v>pas de levier</v>
      </c>
      <c r="L11" t="s">
        <v>83</v>
      </c>
    </row>
    <row r="12" spans="1:12" ht="15.75" thickBot="1">
      <c r="A12" t="s">
        <v>95</v>
      </c>
      <c r="F12" s="58">
        <f>MAX(F5:F11)</f>
        <v>0.13334000000000004</v>
      </c>
      <c r="G12" s="59">
        <f>MAX(G5:G11)</f>
        <v>2.3333333333333335</v>
      </c>
    </row>
    <row r="13" spans="1:12" ht="15.75" thickBot="1">
      <c r="A13" t="s">
        <v>96</v>
      </c>
      <c r="F13" s="55">
        <f>E8/F8</f>
        <v>6</v>
      </c>
    </row>
    <row r="15" spans="1:12">
      <c r="A15" t="s">
        <v>97</v>
      </c>
    </row>
    <row r="33" spans="1:8">
      <c r="A33" t="s">
        <v>84</v>
      </c>
      <c r="B33" s="45">
        <f>33.33%</f>
        <v>0.33329999999999999</v>
      </c>
    </row>
    <row r="34" spans="1:8" ht="15.75" thickBot="1">
      <c r="A34" t="s">
        <v>85</v>
      </c>
      <c r="B34" s="46">
        <v>1.5</v>
      </c>
      <c r="C34" t="s">
        <v>86</v>
      </c>
    </row>
    <row r="35" spans="1:8" ht="15.75" thickBot="1">
      <c r="A35" s="47" t="s">
        <v>87</v>
      </c>
      <c r="B35" s="48" t="s">
        <v>88</v>
      </c>
      <c r="C35" s="48" t="s">
        <v>89</v>
      </c>
      <c r="D35" s="48" t="s">
        <v>90</v>
      </c>
      <c r="E35" s="48" t="s">
        <v>91</v>
      </c>
      <c r="F35" s="48" t="s">
        <v>92</v>
      </c>
      <c r="G35" s="48" t="s">
        <v>93</v>
      </c>
      <c r="H35" s="49" t="s">
        <v>94</v>
      </c>
    </row>
    <row r="36" spans="1:8">
      <c r="A36" s="34">
        <v>10</v>
      </c>
      <c r="B36" s="12">
        <v>0</v>
      </c>
      <c r="C36" s="12"/>
      <c r="D36" s="12"/>
      <c r="E36" s="12"/>
      <c r="F36" s="12"/>
      <c r="G36" s="12"/>
      <c r="H36" s="7"/>
    </row>
    <row r="37" spans="1:8">
      <c r="A37" s="8">
        <v>9.5</v>
      </c>
      <c r="B37" s="3">
        <v>0.5</v>
      </c>
      <c r="C37" s="50">
        <v>0.115</v>
      </c>
      <c r="D37" s="51">
        <f>C37*B37</f>
        <v>5.7500000000000002E-2</v>
      </c>
      <c r="E37" s="51">
        <f>($B$34-D37)*(1-$B$33)</f>
        <v>0.96171475000000006</v>
      </c>
      <c r="F37" s="52">
        <f>E37/A37</f>
        <v>0.10123313157894738</v>
      </c>
      <c r="G37" s="52">
        <f>B37/A37</f>
        <v>5.2631578947368418E-2</v>
      </c>
      <c r="H37" s="36" t="str">
        <f>IF(($B$33/1000000)/(B37+A37)&gt;C37,"levier","pas de levier")</f>
        <v>pas de levier</v>
      </c>
    </row>
    <row r="38" spans="1:8">
      <c r="A38" s="8">
        <v>9</v>
      </c>
      <c r="B38" s="3">
        <v>1</v>
      </c>
      <c r="C38" s="60">
        <v>0.12</v>
      </c>
      <c r="D38" s="51">
        <f t="shared" ref="D38:D50" si="5">C38*B38</f>
        <v>0.12</v>
      </c>
      <c r="E38" s="51">
        <f>($B$34-D38)*(1-$B$33)</f>
        <v>0.92004600000000003</v>
      </c>
      <c r="F38" s="52">
        <f t="shared" ref="F38:F50" si="6">E38/A38</f>
        <v>0.10222733333333334</v>
      </c>
      <c r="G38" s="52">
        <f t="shared" ref="G38:G50" si="7">B38/A38</f>
        <v>0.1111111111111111</v>
      </c>
      <c r="H38" s="36" t="str">
        <f t="shared" ref="H38:H50" si="8">IF(($B$33/1000000)/(B38+A38)&gt;C38,"levier","pas de levier")</f>
        <v>pas de levier</v>
      </c>
    </row>
    <row r="39" spans="1:8">
      <c r="A39" s="8">
        <v>8.5</v>
      </c>
      <c r="B39" s="3">
        <v>1.5</v>
      </c>
      <c r="C39" s="50">
        <v>0.125</v>
      </c>
      <c r="D39" s="51">
        <f t="shared" si="5"/>
        <v>0.1875</v>
      </c>
      <c r="E39" s="51">
        <f t="shared" ref="E39:E50" si="9">($B$34-D39)*(1-$B$33)</f>
        <v>0.87504375000000012</v>
      </c>
      <c r="F39" s="52">
        <f t="shared" si="6"/>
        <v>0.10294632352941178</v>
      </c>
      <c r="G39" s="52">
        <f t="shared" si="7"/>
        <v>0.17647058823529413</v>
      </c>
      <c r="H39" s="36" t="str">
        <f t="shared" si="8"/>
        <v>pas de levier</v>
      </c>
    </row>
    <row r="40" spans="1:8">
      <c r="A40" s="8">
        <v>8</v>
      </c>
      <c r="B40" s="3">
        <v>2</v>
      </c>
      <c r="C40" s="60">
        <v>0.13</v>
      </c>
      <c r="D40" s="51">
        <f t="shared" si="5"/>
        <v>0.26</v>
      </c>
      <c r="E40" s="51">
        <f t="shared" si="9"/>
        <v>0.82670800000000011</v>
      </c>
      <c r="F40" s="52">
        <f t="shared" si="6"/>
        <v>0.10333850000000001</v>
      </c>
      <c r="G40" s="52">
        <f t="shared" si="7"/>
        <v>0.25</v>
      </c>
      <c r="H40" s="36" t="str">
        <f t="shared" si="8"/>
        <v>pas de levier</v>
      </c>
    </row>
    <row r="41" spans="1:8">
      <c r="A41" s="62">
        <v>7.5</v>
      </c>
      <c r="B41" s="63">
        <v>2.5</v>
      </c>
      <c r="C41" s="50">
        <v>0.13500000000000001</v>
      </c>
      <c r="D41" s="51">
        <f t="shared" si="5"/>
        <v>0.33750000000000002</v>
      </c>
      <c r="E41" s="51">
        <f t="shared" si="9"/>
        <v>0.77503875000000011</v>
      </c>
      <c r="F41" s="52">
        <f t="shared" si="6"/>
        <v>0.10333850000000001</v>
      </c>
      <c r="G41" s="52">
        <f t="shared" si="7"/>
        <v>0.33333333333333331</v>
      </c>
      <c r="H41" s="36" t="str">
        <f t="shared" si="8"/>
        <v>pas de levier</v>
      </c>
    </row>
    <row r="42" spans="1:8">
      <c r="A42" s="8">
        <v>7</v>
      </c>
      <c r="B42" s="3">
        <v>3</v>
      </c>
      <c r="C42" s="60">
        <v>0.14000000000000001</v>
      </c>
      <c r="D42" s="51">
        <f t="shared" si="5"/>
        <v>0.42000000000000004</v>
      </c>
      <c r="E42" s="51">
        <f t="shared" si="9"/>
        <v>0.72003600000000012</v>
      </c>
      <c r="F42" s="52">
        <f t="shared" si="6"/>
        <v>0.10286228571428573</v>
      </c>
      <c r="G42" s="52">
        <f t="shared" si="7"/>
        <v>0.42857142857142855</v>
      </c>
      <c r="H42" s="36" t="str">
        <f t="shared" si="8"/>
        <v>pas de levier</v>
      </c>
    </row>
    <row r="43" spans="1:8">
      <c r="A43" s="8">
        <v>6.5</v>
      </c>
      <c r="B43" s="3">
        <v>3.5</v>
      </c>
      <c r="C43" s="50">
        <v>0.14499999999999999</v>
      </c>
      <c r="D43" s="51">
        <f t="shared" si="5"/>
        <v>0.50749999999999995</v>
      </c>
      <c r="E43" s="51">
        <f t="shared" si="9"/>
        <v>0.66169975000000014</v>
      </c>
      <c r="F43" s="52">
        <f t="shared" si="6"/>
        <v>0.10179996153846156</v>
      </c>
      <c r="G43" s="52">
        <f t="shared" si="7"/>
        <v>0.53846153846153844</v>
      </c>
      <c r="H43" s="36" t="str">
        <f t="shared" si="8"/>
        <v>pas de levier</v>
      </c>
    </row>
    <row r="44" spans="1:8">
      <c r="A44" s="8">
        <v>6</v>
      </c>
      <c r="B44" s="3">
        <v>4</v>
      </c>
      <c r="C44" s="60">
        <v>0.15</v>
      </c>
      <c r="D44" s="51">
        <f t="shared" si="5"/>
        <v>0.6</v>
      </c>
      <c r="E44" s="51">
        <f t="shared" si="9"/>
        <v>0.60003000000000006</v>
      </c>
      <c r="F44" s="52">
        <f t="shared" si="6"/>
        <v>0.10000500000000001</v>
      </c>
      <c r="G44" s="52">
        <f t="shared" si="7"/>
        <v>0.66666666666666663</v>
      </c>
      <c r="H44" s="36" t="str">
        <f t="shared" si="8"/>
        <v>pas de levier</v>
      </c>
    </row>
    <row r="45" spans="1:8">
      <c r="A45" s="8">
        <v>5.5</v>
      </c>
      <c r="B45" s="3">
        <v>4.5</v>
      </c>
      <c r="C45" s="50">
        <v>0.155</v>
      </c>
      <c r="D45" s="51">
        <f t="shared" si="5"/>
        <v>0.69750000000000001</v>
      </c>
      <c r="E45" s="51">
        <f t="shared" si="9"/>
        <v>0.53502675</v>
      </c>
      <c r="F45" s="52">
        <f t="shared" si="6"/>
        <v>9.7277590909090911E-2</v>
      </c>
      <c r="G45" s="52">
        <f t="shared" si="7"/>
        <v>0.81818181818181823</v>
      </c>
      <c r="H45" s="36" t="str">
        <f t="shared" si="8"/>
        <v>pas de levier</v>
      </c>
    </row>
    <row r="46" spans="1:8">
      <c r="A46" s="8">
        <v>5</v>
      </c>
      <c r="B46" s="3">
        <v>5</v>
      </c>
      <c r="C46" s="60">
        <v>0.16</v>
      </c>
      <c r="D46" s="51">
        <f t="shared" si="5"/>
        <v>0.8</v>
      </c>
      <c r="E46" s="51">
        <f t="shared" si="9"/>
        <v>0.46668999999999999</v>
      </c>
      <c r="F46" s="52">
        <f t="shared" si="6"/>
        <v>9.3338000000000004E-2</v>
      </c>
      <c r="G46" s="52">
        <f t="shared" si="7"/>
        <v>1</v>
      </c>
      <c r="H46" s="36" t="str">
        <f t="shared" si="8"/>
        <v>pas de levier</v>
      </c>
    </row>
    <row r="47" spans="1:8">
      <c r="A47" s="8">
        <v>4.5</v>
      </c>
      <c r="B47" s="3">
        <v>5.5</v>
      </c>
      <c r="C47" s="50">
        <v>0.16500000000000001</v>
      </c>
      <c r="D47" s="51">
        <f t="shared" si="5"/>
        <v>0.90750000000000008</v>
      </c>
      <c r="E47" s="51">
        <f t="shared" si="9"/>
        <v>0.39501975</v>
      </c>
      <c r="F47" s="52">
        <f t="shared" si="6"/>
        <v>8.7782166666666661E-2</v>
      </c>
      <c r="G47" s="52">
        <f t="shared" si="7"/>
        <v>1.2222222222222223</v>
      </c>
      <c r="H47" s="36" t="str">
        <f t="shared" si="8"/>
        <v>pas de levier</v>
      </c>
    </row>
    <row r="48" spans="1:8">
      <c r="A48" s="8">
        <v>4</v>
      </c>
      <c r="B48" s="3">
        <v>6</v>
      </c>
      <c r="C48" s="60">
        <v>0.17</v>
      </c>
      <c r="D48" s="51">
        <f t="shared" si="5"/>
        <v>1.02</v>
      </c>
      <c r="E48" s="51">
        <f t="shared" si="9"/>
        <v>0.32001600000000002</v>
      </c>
      <c r="F48" s="52">
        <f t="shared" si="6"/>
        <v>8.0004000000000006E-2</v>
      </c>
      <c r="G48" s="52">
        <f t="shared" si="7"/>
        <v>1.5</v>
      </c>
      <c r="H48" s="36" t="str">
        <f t="shared" si="8"/>
        <v>pas de levier</v>
      </c>
    </row>
    <row r="49" spans="1:8">
      <c r="A49" s="8">
        <v>3.5</v>
      </c>
      <c r="B49" s="3">
        <v>6.5</v>
      </c>
      <c r="C49" s="50">
        <v>0.17499999999999999</v>
      </c>
      <c r="D49" s="51">
        <f t="shared" si="5"/>
        <v>1.1375</v>
      </c>
      <c r="E49" s="51">
        <f t="shared" si="9"/>
        <v>0.24167875000000005</v>
      </c>
      <c r="F49" s="52">
        <f t="shared" si="6"/>
        <v>6.9051071428571448E-2</v>
      </c>
      <c r="G49" s="52">
        <f t="shared" si="7"/>
        <v>1.8571428571428572</v>
      </c>
      <c r="H49" s="36" t="str">
        <f t="shared" si="8"/>
        <v>pas de levier</v>
      </c>
    </row>
    <row r="50" spans="1:8" ht="15.75" thickBot="1">
      <c r="A50" s="10">
        <v>3</v>
      </c>
      <c r="B50" s="20">
        <v>7</v>
      </c>
      <c r="C50" s="61">
        <v>0.18</v>
      </c>
      <c r="D50" s="53">
        <f t="shared" si="5"/>
        <v>1.26</v>
      </c>
      <c r="E50" s="53">
        <f t="shared" si="9"/>
        <v>0.16000800000000001</v>
      </c>
      <c r="F50" s="54">
        <f t="shared" si="6"/>
        <v>5.3336000000000001E-2</v>
      </c>
      <c r="G50" s="54">
        <f t="shared" si="7"/>
        <v>2.3333333333333335</v>
      </c>
      <c r="H50" s="38" t="str">
        <f t="shared" si="8"/>
        <v>pas de levier</v>
      </c>
    </row>
    <row r="51" spans="1:8" ht="15.75" thickBot="1">
      <c r="A51" t="s">
        <v>95</v>
      </c>
      <c r="F51" s="65">
        <f>MAX(F37:F50)</f>
        <v>0.10333850000000001</v>
      </c>
      <c r="G51" s="66">
        <f>MAX(G37:G50)</f>
        <v>2.3333333333333335</v>
      </c>
    </row>
    <row r="52" spans="1:8" ht="15.75" thickBot="1">
      <c r="A52" t="s">
        <v>96</v>
      </c>
      <c r="F52" s="64">
        <f>E41/F41</f>
        <v>7.5</v>
      </c>
    </row>
    <row r="56" spans="1:8">
      <c r="A56" t="s">
        <v>84</v>
      </c>
      <c r="B56" s="45">
        <v>0.33329999999999999</v>
      </c>
    </row>
    <row r="57" spans="1:8" ht="15.75" thickBot="1">
      <c r="A57" t="s">
        <v>85</v>
      </c>
      <c r="B57" s="46">
        <v>1.2</v>
      </c>
      <c r="C57" t="s">
        <v>86</v>
      </c>
      <c r="D57" t="s">
        <v>86</v>
      </c>
    </row>
    <row r="58" spans="1:8" ht="15.75" thickBot="1">
      <c r="A58" s="47" t="s">
        <v>87</v>
      </c>
      <c r="B58" s="48" t="s">
        <v>88</v>
      </c>
      <c r="C58" s="48" t="s">
        <v>89</v>
      </c>
      <c r="D58" s="48" t="s">
        <v>90</v>
      </c>
      <c r="E58" s="48" t="s">
        <v>91</v>
      </c>
      <c r="F58" s="48" t="s">
        <v>92</v>
      </c>
      <c r="G58" s="48" t="s">
        <v>93</v>
      </c>
      <c r="H58" s="49" t="s">
        <v>94</v>
      </c>
    </row>
    <row r="59" spans="1:8">
      <c r="A59" s="34">
        <v>10</v>
      </c>
      <c r="B59" s="12">
        <f>10-A59</f>
        <v>0</v>
      </c>
      <c r="C59" s="12"/>
      <c r="D59" s="12"/>
      <c r="E59" s="12"/>
      <c r="F59" s="12"/>
      <c r="G59" s="12">
        <f>B59/A59</f>
        <v>0</v>
      </c>
      <c r="H59" s="7"/>
    </row>
    <row r="60" spans="1:8">
      <c r="A60" s="8">
        <v>9</v>
      </c>
      <c r="B60" s="3">
        <f t="shared" ref="B60:B69" si="10">10-A60</f>
        <v>1</v>
      </c>
      <c r="C60" s="50">
        <v>0.12</v>
      </c>
      <c r="D60" s="51">
        <f t="shared" ref="D60:D69" si="11">B60*C60</f>
        <v>0.12</v>
      </c>
      <c r="E60" s="51">
        <f>($B$57-D60)*(1-$B$56)</f>
        <v>0.72003600000000012</v>
      </c>
      <c r="F60" s="52">
        <f t="shared" ref="F60:F69" si="12">E60/(A60)</f>
        <v>8.000400000000002E-2</v>
      </c>
      <c r="G60" s="52">
        <f t="shared" ref="G60:G69" si="13">B60/A60</f>
        <v>0.1111111111111111</v>
      </c>
      <c r="H60" s="36" t="str">
        <f>IF(($B$57/1000000)/(B60+A60)&gt;C60,"levier","pas de levier")</f>
        <v>pas de levier</v>
      </c>
    </row>
    <row r="61" spans="1:8">
      <c r="A61" s="8">
        <v>8.75</v>
      </c>
      <c r="B61" s="3">
        <f t="shared" si="10"/>
        <v>1.25</v>
      </c>
      <c r="C61" s="50">
        <v>0.1225</v>
      </c>
      <c r="D61" s="51">
        <f t="shared" si="11"/>
        <v>0.15312500000000001</v>
      </c>
      <c r="E61" s="51">
        <f t="shared" ref="E61:E69" si="14">($B$57-D61)*(1-$B$56)</f>
        <v>0.69795156250000012</v>
      </c>
      <c r="F61" s="52">
        <f t="shared" si="12"/>
        <v>7.9765892857142875E-2</v>
      </c>
      <c r="G61" s="52">
        <f t="shared" si="13"/>
        <v>0.14285714285714285</v>
      </c>
      <c r="H61" s="36" t="str">
        <f t="shared" ref="H61:H69" si="15">IF(($B$57/1000000)/(B61+A61)&gt;C61,"levier","pas de levier")</f>
        <v>pas de levier</v>
      </c>
    </row>
    <row r="62" spans="1:8">
      <c r="A62" s="8">
        <v>8.5</v>
      </c>
      <c r="B62" s="3">
        <f t="shared" si="10"/>
        <v>1.5</v>
      </c>
      <c r="C62" s="50">
        <v>0.125</v>
      </c>
      <c r="D62" s="51">
        <f t="shared" si="11"/>
        <v>0.1875</v>
      </c>
      <c r="E62" s="51">
        <f t="shared" si="14"/>
        <v>0.67503374999999999</v>
      </c>
      <c r="F62" s="52">
        <f t="shared" si="12"/>
        <v>7.9415735294117648E-2</v>
      </c>
      <c r="G62" s="52">
        <f t="shared" si="13"/>
        <v>0.17647058823529413</v>
      </c>
      <c r="H62" s="36" t="str">
        <f t="shared" si="15"/>
        <v>pas de levier</v>
      </c>
    </row>
    <row r="63" spans="1:8">
      <c r="A63" s="8">
        <v>8.25</v>
      </c>
      <c r="B63" s="3">
        <f t="shared" si="10"/>
        <v>1.75</v>
      </c>
      <c r="C63" s="50">
        <v>0.1275</v>
      </c>
      <c r="D63" s="51">
        <f t="shared" si="11"/>
        <v>0.22312500000000002</v>
      </c>
      <c r="E63" s="51">
        <f t="shared" si="14"/>
        <v>0.65128256250000005</v>
      </c>
      <c r="F63" s="52">
        <f t="shared" si="12"/>
        <v>7.8943340909090914E-2</v>
      </c>
      <c r="G63" s="52">
        <f t="shared" si="13"/>
        <v>0.21212121212121213</v>
      </c>
      <c r="H63" s="36" t="str">
        <f t="shared" si="15"/>
        <v>pas de levier</v>
      </c>
    </row>
    <row r="64" spans="1:8">
      <c r="A64" s="8">
        <v>8</v>
      </c>
      <c r="B64" s="3">
        <f t="shared" si="10"/>
        <v>2</v>
      </c>
      <c r="C64" s="50">
        <v>0.13</v>
      </c>
      <c r="D64" s="51">
        <f t="shared" si="11"/>
        <v>0.26</v>
      </c>
      <c r="E64" s="51">
        <f t="shared" si="14"/>
        <v>0.62669799999999998</v>
      </c>
      <c r="F64" s="52">
        <f t="shared" si="12"/>
        <v>7.8337249999999997E-2</v>
      </c>
      <c r="G64" s="52">
        <f t="shared" si="13"/>
        <v>0.25</v>
      </c>
      <c r="H64" s="36" t="str">
        <f t="shared" si="15"/>
        <v>pas de levier</v>
      </c>
    </row>
    <row r="65" spans="1:8">
      <c r="A65" s="8">
        <v>7</v>
      </c>
      <c r="B65" s="3">
        <f t="shared" si="10"/>
        <v>3</v>
      </c>
      <c r="C65" s="50">
        <v>0.14000000000000001</v>
      </c>
      <c r="D65" s="51">
        <f t="shared" si="11"/>
        <v>0.42000000000000004</v>
      </c>
      <c r="E65" s="51">
        <f t="shared" si="14"/>
        <v>0.52002599999999999</v>
      </c>
      <c r="F65" s="52">
        <f t="shared" si="12"/>
        <v>7.4289428571428576E-2</v>
      </c>
      <c r="G65" s="52">
        <f t="shared" si="13"/>
        <v>0.42857142857142855</v>
      </c>
      <c r="H65" s="36" t="str">
        <f t="shared" si="15"/>
        <v>pas de levier</v>
      </c>
    </row>
    <row r="66" spans="1:8">
      <c r="A66" s="8">
        <v>6</v>
      </c>
      <c r="B66" s="3">
        <f t="shared" si="10"/>
        <v>4</v>
      </c>
      <c r="C66" s="50">
        <v>0.15</v>
      </c>
      <c r="D66" s="51">
        <f t="shared" si="11"/>
        <v>0.6</v>
      </c>
      <c r="E66" s="51">
        <f t="shared" si="14"/>
        <v>0.40002000000000004</v>
      </c>
      <c r="F66" s="52">
        <f t="shared" si="12"/>
        <v>6.6670000000000007E-2</v>
      </c>
      <c r="G66" s="52">
        <f t="shared" si="13"/>
        <v>0.66666666666666663</v>
      </c>
      <c r="H66" s="36" t="str">
        <f t="shared" si="15"/>
        <v>pas de levier</v>
      </c>
    </row>
    <row r="67" spans="1:8">
      <c r="A67" s="8">
        <v>5</v>
      </c>
      <c r="B67" s="3">
        <f t="shared" si="10"/>
        <v>5</v>
      </c>
      <c r="C67" s="50">
        <v>0.16</v>
      </c>
      <c r="D67" s="51">
        <f t="shared" si="11"/>
        <v>0.8</v>
      </c>
      <c r="E67" s="51">
        <f t="shared" si="14"/>
        <v>0.26667999999999997</v>
      </c>
      <c r="F67" s="52">
        <f t="shared" si="12"/>
        <v>5.3335999999999995E-2</v>
      </c>
      <c r="G67" s="52">
        <f t="shared" si="13"/>
        <v>1</v>
      </c>
      <c r="H67" s="36" t="str">
        <f t="shared" si="15"/>
        <v>pas de levier</v>
      </c>
    </row>
    <row r="68" spans="1:8">
      <c r="A68" s="8">
        <v>4</v>
      </c>
      <c r="B68" s="3">
        <f t="shared" si="10"/>
        <v>6</v>
      </c>
      <c r="C68" s="50">
        <v>0.17</v>
      </c>
      <c r="D68" s="51">
        <f t="shared" si="11"/>
        <v>1.02</v>
      </c>
      <c r="E68" s="51">
        <f t="shared" si="14"/>
        <v>0.12000599999999997</v>
      </c>
      <c r="F68" s="52">
        <f t="shared" si="12"/>
        <v>3.0001499999999993E-2</v>
      </c>
      <c r="G68" s="52">
        <f t="shared" si="13"/>
        <v>1.5</v>
      </c>
      <c r="H68" s="36" t="str">
        <f t="shared" si="15"/>
        <v>pas de levier</v>
      </c>
    </row>
    <row r="69" spans="1:8" ht="15.75" thickBot="1">
      <c r="A69" s="10">
        <v>3</v>
      </c>
      <c r="B69" s="20">
        <f t="shared" si="10"/>
        <v>7</v>
      </c>
      <c r="C69" s="13">
        <v>0.18</v>
      </c>
      <c r="D69" s="53">
        <f t="shared" si="11"/>
        <v>1.26</v>
      </c>
      <c r="E69" s="53">
        <f t="shared" si="14"/>
        <v>-4.0002000000000038E-2</v>
      </c>
      <c r="F69" s="54">
        <f t="shared" si="12"/>
        <v>-1.3334000000000013E-2</v>
      </c>
      <c r="G69" s="54">
        <f t="shared" si="13"/>
        <v>2.3333333333333335</v>
      </c>
      <c r="H69" s="38" t="str">
        <f t="shared" si="15"/>
        <v>pas de levier</v>
      </c>
    </row>
    <row r="70" spans="1:8" ht="15.75" thickBot="1">
      <c r="A70" t="s">
        <v>95</v>
      </c>
      <c r="F70" s="59">
        <f>MAX(F60:F69)</f>
        <v>8.000400000000002E-2</v>
      </c>
      <c r="G70" s="18">
        <f>MAX(G62:G69)</f>
        <v>2.3333333333333335</v>
      </c>
    </row>
    <row r="71" spans="1:8" ht="15.75" thickBot="1">
      <c r="A71" t="s">
        <v>96</v>
      </c>
      <c r="F71" s="67">
        <f>E60/F70</f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1"/>
  <sheetViews>
    <sheetView topLeftCell="A3" zoomScale="85" zoomScaleNormal="85" workbookViewId="0">
      <selection activeCell="I29" sqref="I29"/>
    </sheetView>
  </sheetViews>
  <sheetFormatPr baseColWidth="10" defaultRowHeight="15"/>
  <cols>
    <col min="1" max="1" width="40" customWidth="1"/>
    <col min="5" max="5" width="52.7109375" customWidth="1"/>
    <col min="6" max="6" width="26.28515625" customWidth="1"/>
    <col min="7" max="7" width="16.7109375" customWidth="1"/>
    <col min="8" max="8" width="46.7109375" customWidth="1"/>
    <col min="9" max="9" width="20.42578125" customWidth="1"/>
  </cols>
  <sheetData>
    <row r="1" spans="1:7">
      <c r="A1" s="69" t="s">
        <v>98</v>
      </c>
      <c r="B1" s="82" t="s">
        <v>99</v>
      </c>
      <c r="C1" s="82" t="s">
        <v>100</v>
      </c>
      <c r="D1" s="5"/>
      <c r="E1" s="83"/>
      <c r="F1" s="89" t="s">
        <v>117</v>
      </c>
      <c r="G1" s="70" t="s">
        <v>118</v>
      </c>
    </row>
    <row r="2" spans="1:7">
      <c r="A2" s="76" t="s">
        <v>101</v>
      </c>
      <c r="B2" s="71">
        <v>2400000</v>
      </c>
      <c r="C2" s="71"/>
      <c r="D2" s="5"/>
      <c r="E2" s="83"/>
      <c r="F2" s="90"/>
      <c r="G2" s="84"/>
    </row>
    <row r="3" spans="1:7">
      <c r="A3" s="77" t="s">
        <v>102</v>
      </c>
      <c r="B3" s="72"/>
      <c r="C3" s="72"/>
      <c r="D3" s="5"/>
      <c r="E3" s="73"/>
      <c r="F3" s="91"/>
      <c r="G3" s="85"/>
    </row>
    <row r="4" spans="1:7" ht="15.75" customHeight="1">
      <c r="A4" s="78" t="s">
        <v>103</v>
      </c>
      <c r="B4" s="72"/>
      <c r="C4" s="72"/>
      <c r="D4" s="5"/>
      <c r="E4" s="73" t="s">
        <v>119</v>
      </c>
      <c r="F4" s="92"/>
      <c r="G4" s="86">
        <v>30</v>
      </c>
    </row>
    <row r="5" spans="1:7" ht="18.75" customHeight="1">
      <c r="A5" s="79" t="s">
        <v>104</v>
      </c>
      <c r="B5" s="72">
        <v>960000</v>
      </c>
      <c r="C5" s="74">
        <f t="shared" ref="C5:C17" si="0">B5/$B$2</f>
        <v>0.4</v>
      </c>
      <c r="D5" s="5"/>
      <c r="E5" s="73" t="s">
        <v>120</v>
      </c>
      <c r="F5" s="92" t="s">
        <v>121</v>
      </c>
      <c r="G5" s="86"/>
    </row>
    <row r="6" spans="1:7">
      <c r="A6" s="79" t="s">
        <v>105</v>
      </c>
      <c r="B6" s="72">
        <v>120000</v>
      </c>
      <c r="C6" s="74">
        <f t="shared" si="0"/>
        <v>0.05</v>
      </c>
      <c r="D6" s="5"/>
      <c r="E6" s="73" t="s">
        <v>122</v>
      </c>
      <c r="F6" s="90"/>
      <c r="G6" s="84">
        <v>20</v>
      </c>
    </row>
    <row r="7" spans="1:7">
      <c r="A7" s="79" t="s">
        <v>106</v>
      </c>
      <c r="B7" s="72">
        <v>240000</v>
      </c>
      <c r="C7" s="74">
        <f>B7/$B$2</f>
        <v>0.1</v>
      </c>
      <c r="D7" s="5"/>
      <c r="E7" s="73" t="s">
        <v>123</v>
      </c>
      <c r="F7" s="93">
        <v>0.6</v>
      </c>
      <c r="G7" s="87"/>
    </row>
    <row r="8" spans="1:7">
      <c r="A8" s="79" t="s">
        <v>107</v>
      </c>
      <c r="B8" s="72">
        <v>384000</v>
      </c>
      <c r="C8" s="74">
        <f t="shared" si="0"/>
        <v>0.16</v>
      </c>
      <c r="D8" s="5"/>
      <c r="E8" s="73" t="s">
        <v>124</v>
      </c>
      <c r="F8" s="90"/>
      <c r="G8" s="84">
        <v>10</v>
      </c>
    </row>
    <row r="9" spans="1:7">
      <c r="A9" s="79" t="s">
        <v>108</v>
      </c>
      <c r="B9" s="72">
        <v>192000</v>
      </c>
      <c r="C9" s="74">
        <f t="shared" si="0"/>
        <v>0.08</v>
      </c>
      <c r="D9" s="5"/>
      <c r="E9" s="73" t="s">
        <v>125</v>
      </c>
      <c r="F9" s="93">
        <v>0.8</v>
      </c>
      <c r="G9" s="87"/>
    </row>
    <row r="10" spans="1:7">
      <c r="A10" s="77" t="s">
        <v>109</v>
      </c>
      <c r="B10" s="72">
        <v>504000</v>
      </c>
      <c r="C10" s="74">
        <f>B10/$B$2</f>
        <v>0.21</v>
      </c>
      <c r="D10" s="5"/>
      <c r="E10" s="73" t="s">
        <v>126</v>
      </c>
      <c r="F10" s="92"/>
      <c r="G10" s="86">
        <v>45</v>
      </c>
    </row>
    <row r="11" spans="1:7">
      <c r="A11" s="78" t="s">
        <v>110</v>
      </c>
      <c r="B11" s="72"/>
      <c r="C11" s="74"/>
      <c r="D11" s="5"/>
      <c r="E11" s="73" t="s">
        <v>127</v>
      </c>
      <c r="F11" s="92"/>
      <c r="G11" s="86">
        <v>60</v>
      </c>
    </row>
    <row r="12" spans="1:7">
      <c r="A12" s="79" t="s">
        <v>111</v>
      </c>
      <c r="B12" s="72">
        <v>192000</v>
      </c>
      <c r="C12" s="74">
        <f t="shared" si="0"/>
        <v>0.08</v>
      </c>
      <c r="D12" s="5"/>
      <c r="E12" s="73" t="s">
        <v>128</v>
      </c>
      <c r="F12" s="92" t="s">
        <v>129</v>
      </c>
      <c r="G12" s="86">
        <v>45</v>
      </c>
    </row>
    <row r="13" spans="1:7">
      <c r="A13" s="79" t="s">
        <v>112</v>
      </c>
      <c r="B13" s="72">
        <v>24000</v>
      </c>
      <c r="C13" s="74">
        <f>B13/$B$2</f>
        <v>0.01</v>
      </c>
      <c r="D13" s="5"/>
      <c r="E13" s="73" t="s">
        <v>130</v>
      </c>
      <c r="F13" s="94">
        <v>0.19600000000000001</v>
      </c>
      <c r="G13" s="85"/>
    </row>
    <row r="14" spans="1:7">
      <c r="A14" s="77" t="s">
        <v>113</v>
      </c>
      <c r="B14" s="72">
        <v>2112000</v>
      </c>
      <c r="C14" s="74">
        <f t="shared" si="0"/>
        <v>0.88</v>
      </c>
      <c r="D14" s="5"/>
      <c r="E14" s="73" t="s">
        <v>131</v>
      </c>
      <c r="F14" s="95" t="s">
        <v>132</v>
      </c>
      <c r="G14" s="86"/>
    </row>
    <row r="15" spans="1:7">
      <c r="A15" s="79" t="s">
        <v>114</v>
      </c>
      <c r="B15" s="72">
        <v>288000</v>
      </c>
      <c r="C15" s="74">
        <f t="shared" si="0"/>
        <v>0.12</v>
      </c>
      <c r="D15" s="5"/>
      <c r="E15" s="73" t="s">
        <v>133</v>
      </c>
      <c r="F15" s="96" t="s">
        <v>134</v>
      </c>
      <c r="G15" s="86"/>
    </row>
    <row r="16" spans="1:7">
      <c r="A16" s="79" t="s">
        <v>115</v>
      </c>
      <c r="B16" s="72">
        <v>96000</v>
      </c>
      <c r="C16" s="74">
        <f t="shared" si="0"/>
        <v>0.04</v>
      </c>
      <c r="D16" s="5"/>
      <c r="E16" s="75" t="s">
        <v>135</v>
      </c>
      <c r="F16" s="97" t="s">
        <v>136</v>
      </c>
      <c r="G16" s="87"/>
    </row>
    <row r="17" spans="1:10">
      <c r="A17" s="80" t="s">
        <v>116</v>
      </c>
      <c r="B17" s="81">
        <v>192000</v>
      </c>
      <c r="C17" s="74">
        <f t="shared" si="0"/>
        <v>0.08</v>
      </c>
      <c r="D17" s="5"/>
      <c r="E17" s="88"/>
      <c r="F17" s="88"/>
      <c r="G17" s="88"/>
    </row>
    <row r="18" spans="1:10">
      <c r="A18" s="5"/>
      <c r="B18" s="5"/>
      <c r="C18" s="68"/>
      <c r="D18" s="5"/>
    </row>
    <row r="19" spans="1:10" ht="15.75" thickBot="1"/>
    <row r="20" spans="1:10" ht="15.75" thickBot="1">
      <c r="A20" s="98" t="s">
        <v>137</v>
      </c>
      <c r="B20" s="99"/>
      <c r="C20" s="100"/>
      <c r="E20" s="187" t="s">
        <v>151</v>
      </c>
      <c r="F20" s="190"/>
      <c r="G20" s="191"/>
      <c r="H20" s="192" t="s">
        <v>152</v>
      </c>
      <c r="I20" s="188"/>
    </row>
    <row r="21" spans="1:10" ht="30">
      <c r="A21" s="101" t="s">
        <v>149</v>
      </c>
      <c r="B21" s="102"/>
      <c r="C21" s="103"/>
      <c r="E21" s="111"/>
      <c r="F21" s="117" t="s">
        <v>153</v>
      </c>
      <c r="G21" s="117" t="s">
        <v>154</v>
      </c>
      <c r="H21" s="115" t="s">
        <v>155</v>
      </c>
      <c r="I21" s="108">
        <v>3400000</v>
      </c>
    </row>
    <row r="22" spans="1:10">
      <c r="A22" s="101"/>
      <c r="B22" s="102"/>
      <c r="C22" s="103"/>
      <c r="E22" s="113" t="s">
        <v>156</v>
      </c>
      <c r="F22" s="82"/>
      <c r="G22" s="82"/>
      <c r="H22" s="107" t="s">
        <v>157</v>
      </c>
      <c r="I22" s="109">
        <f>(SUM(B5:B9))/B2</f>
        <v>0.79</v>
      </c>
    </row>
    <row r="23" spans="1:10">
      <c r="A23" s="101" t="s">
        <v>138</v>
      </c>
      <c r="B23" s="102"/>
      <c r="C23" s="103"/>
      <c r="E23" s="112" t="s">
        <v>351</v>
      </c>
      <c r="F23" s="102">
        <f>G4/360*B5</f>
        <v>80000</v>
      </c>
      <c r="G23" s="82"/>
      <c r="H23" s="107" t="s">
        <v>158</v>
      </c>
      <c r="I23" s="110">
        <f>I21*I22</f>
        <v>2686000</v>
      </c>
    </row>
    <row r="24" spans="1:10" ht="30">
      <c r="A24" s="101" t="s">
        <v>150</v>
      </c>
      <c r="B24" s="102"/>
      <c r="C24" s="103"/>
      <c r="E24" s="112" t="s">
        <v>159</v>
      </c>
      <c r="F24" s="102">
        <f>G6/360*$F$7*$B$2</f>
        <v>80000</v>
      </c>
      <c r="G24" s="82"/>
      <c r="H24" s="107" t="s">
        <v>160</v>
      </c>
      <c r="I24" s="110">
        <f>SUM(B12:B13)</f>
        <v>216000</v>
      </c>
    </row>
    <row r="25" spans="1:10">
      <c r="A25" s="101" t="s">
        <v>139</v>
      </c>
      <c r="B25" s="102"/>
      <c r="C25" s="103"/>
      <c r="E25" s="112" t="s">
        <v>161</v>
      </c>
      <c r="F25" s="102">
        <f>G8/360*$F$9*$B$2</f>
        <v>53333.333333333336</v>
      </c>
      <c r="G25" s="82"/>
      <c r="H25" s="107" t="s">
        <v>162</v>
      </c>
      <c r="I25" s="110">
        <f>I21-I23-I24</f>
        <v>498000</v>
      </c>
    </row>
    <row r="26" spans="1:10">
      <c r="A26" s="101" t="s">
        <v>140</v>
      </c>
      <c r="B26" s="102" t="s">
        <v>141</v>
      </c>
      <c r="C26" s="103"/>
      <c r="E26" s="113" t="s">
        <v>163</v>
      </c>
      <c r="F26" s="102">
        <f>B2*(1+$F$13)*G12/360</f>
        <v>358800</v>
      </c>
      <c r="G26" s="82"/>
      <c r="H26" s="107" t="s">
        <v>164</v>
      </c>
      <c r="I26" s="110">
        <f>I25*1/3</f>
        <v>166000</v>
      </c>
    </row>
    <row r="27" spans="1:10" ht="30">
      <c r="A27" s="101" t="s">
        <v>142</v>
      </c>
      <c r="B27" s="102" t="s">
        <v>143</v>
      </c>
      <c r="C27" s="103"/>
      <c r="E27" s="113" t="s">
        <v>165</v>
      </c>
      <c r="F27" s="118"/>
      <c r="G27" s="118"/>
      <c r="H27" s="107" t="s">
        <v>166</v>
      </c>
      <c r="I27" s="110">
        <f>I25-I26</f>
        <v>332000</v>
      </c>
    </row>
    <row r="28" spans="1:10" ht="32.25" customHeight="1">
      <c r="A28" s="101" t="s">
        <v>144</v>
      </c>
      <c r="B28" s="102" t="s">
        <v>145</v>
      </c>
      <c r="C28" s="103" t="s">
        <v>146</v>
      </c>
      <c r="E28" s="112" t="s">
        <v>167</v>
      </c>
      <c r="F28" s="82"/>
      <c r="G28" s="82">
        <f>B5*G11/360*(1+$F$13)</f>
        <v>191360</v>
      </c>
      <c r="H28" s="107" t="s">
        <v>168</v>
      </c>
      <c r="I28" s="109">
        <f>I27/I21</f>
        <v>9.7647058823529406E-2</v>
      </c>
      <c r="J28" t="s">
        <v>190</v>
      </c>
    </row>
    <row r="29" spans="1:10" ht="30">
      <c r="A29" s="101" t="s">
        <v>147</v>
      </c>
      <c r="B29" s="102"/>
      <c r="C29" s="103"/>
      <c r="E29" s="112" t="s">
        <v>169</v>
      </c>
      <c r="F29" s="82"/>
      <c r="G29" s="82">
        <f>B6*G12/360*(1+$F$13)</f>
        <v>17940</v>
      </c>
      <c r="H29" s="107" t="s">
        <v>13</v>
      </c>
      <c r="I29" s="120">
        <f>B12+I27-I21*I35-I31</f>
        <v>89137.777777777635</v>
      </c>
    </row>
    <row r="30" spans="1:10" ht="15.75" thickBot="1">
      <c r="A30" s="37" t="s">
        <v>148</v>
      </c>
      <c r="B30" s="104"/>
      <c r="C30" s="105"/>
      <c r="E30" s="112" t="s">
        <v>170</v>
      </c>
      <c r="F30" s="82"/>
      <c r="G30" s="82">
        <f>(G12/360)*B7*(1+$F$13)</f>
        <v>35880</v>
      </c>
      <c r="H30" s="107" t="s">
        <v>171</v>
      </c>
      <c r="I30" s="123">
        <f>I27+B12-I29</f>
        <v>434862.22222222236</v>
      </c>
    </row>
    <row r="31" spans="1:10">
      <c r="A31" s="5"/>
      <c r="B31" s="5"/>
      <c r="C31" s="5"/>
      <c r="E31" s="113" t="s">
        <v>352</v>
      </c>
      <c r="F31" s="118"/>
      <c r="G31" s="118"/>
      <c r="H31" s="107" t="s">
        <v>353</v>
      </c>
      <c r="I31" s="122">
        <v>100000</v>
      </c>
    </row>
    <row r="32" spans="1:10">
      <c r="E32" s="112" t="s">
        <v>172</v>
      </c>
      <c r="F32" s="82">
        <f>35/360*(B5+B6+B7)*$F$13</f>
        <v>25153.333333333332</v>
      </c>
      <c r="G32" s="82"/>
      <c r="H32" s="107" t="s">
        <v>173</v>
      </c>
      <c r="I32" s="121">
        <f>I30-I31</f>
        <v>334862.22222222236</v>
      </c>
    </row>
    <row r="33" spans="1:9">
      <c r="A33" s="193" t="s">
        <v>191</v>
      </c>
      <c r="B33" s="193"/>
      <c r="E33" s="112" t="s">
        <v>174</v>
      </c>
      <c r="F33" s="82"/>
      <c r="G33" s="82">
        <f>35/360*(B2)*$F$13</f>
        <v>45733.333333333336</v>
      </c>
      <c r="H33" s="107" t="s">
        <v>175</v>
      </c>
      <c r="I33" s="123">
        <f>I32/I21</f>
        <v>9.8488888888888931E-2</v>
      </c>
    </row>
    <row r="34" spans="1:9">
      <c r="A34" s="193"/>
      <c r="B34" s="193"/>
      <c r="E34" s="113" t="s">
        <v>176</v>
      </c>
      <c r="F34" s="118"/>
      <c r="G34" s="118"/>
      <c r="H34" s="107" t="s">
        <v>177</v>
      </c>
      <c r="I34" s="121">
        <f>(I21-B2)*F41</f>
        <v>98488.888888888934</v>
      </c>
    </row>
    <row r="35" spans="1:9">
      <c r="A35" s="193"/>
      <c r="B35" s="193"/>
      <c r="E35" s="112" t="s">
        <v>178</v>
      </c>
      <c r="F35" s="82"/>
      <c r="G35" s="82">
        <f>(30/360)*B8/2</f>
        <v>16000</v>
      </c>
      <c r="H35" s="107" t="s">
        <v>179</v>
      </c>
      <c r="I35" s="121">
        <f>(F40+I34)/I21</f>
        <v>9.8488888888888931E-2</v>
      </c>
    </row>
    <row r="36" spans="1:9">
      <c r="A36" s="193"/>
      <c r="B36" s="193"/>
      <c r="E36" s="112" t="s">
        <v>180</v>
      </c>
      <c r="F36" s="82"/>
      <c r="G36" s="82">
        <f>G35*3</f>
        <v>48000</v>
      </c>
      <c r="H36" s="107" t="s">
        <v>181</v>
      </c>
      <c r="I36" s="121">
        <f>I21*I35</f>
        <v>334862.22222222236</v>
      </c>
    </row>
    <row r="37" spans="1:9">
      <c r="A37" s="193"/>
      <c r="B37" s="193"/>
      <c r="E37" s="113" t="s">
        <v>182</v>
      </c>
      <c r="F37" s="118"/>
      <c r="G37" s="118"/>
      <c r="H37" s="107" t="s">
        <v>183</v>
      </c>
      <c r="I37" s="122" t="str">
        <f>IF(I33&gt;I35,"OUI","NON")</f>
        <v>NON</v>
      </c>
    </row>
    <row r="38" spans="1:9">
      <c r="A38" s="193"/>
      <c r="B38" s="193"/>
      <c r="E38" s="112" t="s">
        <v>184</v>
      </c>
      <c r="F38" s="82"/>
      <c r="G38" s="82">
        <f>(90/360)*B13</f>
        <v>6000</v>
      </c>
      <c r="H38" s="106" t="s">
        <v>185</v>
      </c>
      <c r="I38" s="122"/>
    </row>
    <row r="39" spans="1:9">
      <c r="A39" s="193"/>
      <c r="B39" s="193"/>
      <c r="E39" s="113" t="s">
        <v>186</v>
      </c>
      <c r="F39" s="118"/>
      <c r="G39" s="118"/>
      <c r="H39" s="107"/>
      <c r="I39" s="122"/>
    </row>
    <row r="40" spans="1:9" ht="15.75" thickBot="1">
      <c r="E40" s="113" t="s">
        <v>187</v>
      </c>
      <c r="F40" s="82">
        <f>F23+F24+F25+F26+F32-(G28+G29+G30+G33+G35+G36+G38)</f>
        <v>236373.33333333343</v>
      </c>
      <c r="G40" s="82"/>
      <c r="H40" s="116" t="s">
        <v>188</v>
      </c>
      <c r="I40" s="124"/>
    </row>
    <row r="41" spans="1:9" ht="15.75" thickBot="1">
      <c r="E41" s="114" t="s">
        <v>189</v>
      </c>
      <c r="F41" s="119">
        <f>F40/B2</f>
        <v>9.8488888888888931E-2</v>
      </c>
      <c r="G41" s="82"/>
      <c r="H41" s="88"/>
      <c r="I41" s="88"/>
    </row>
  </sheetData>
  <mergeCells count="3">
    <mergeCell ref="E20:G20"/>
    <mergeCell ref="H20:I20"/>
    <mergeCell ref="A33:B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topLeftCell="A2" workbookViewId="0">
      <selection activeCell="J4" sqref="J4"/>
    </sheetView>
  </sheetViews>
  <sheetFormatPr baseColWidth="10" defaultRowHeight="15"/>
  <cols>
    <col min="1" max="1" width="33.7109375" customWidth="1"/>
    <col min="3" max="3" width="37.7109375" customWidth="1"/>
    <col min="4" max="4" width="13.7109375" customWidth="1"/>
    <col min="5" max="5" width="40.140625" customWidth="1"/>
    <col min="6" max="6" width="12.28515625" customWidth="1"/>
    <col min="8" max="8" width="24" customWidth="1"/>
    <col min="10" max="10" width="23.140625" customWidth="1"/>
  </cols>
  <sheetData>
    <row r="1" spans="1:10" ht="51.75" customHeight="1">
      <c r="A1" s="194" t="s">
        <v>192</v>
      </c>
      <c r="B1" s="195"/>
      <c r="C1" s="196" t="s">
        <v>193</v>
      </c>
      <c r="D1" s="197"/>
      <c r="E1" s="194" t="s">
        <v>194</v>
      </c>
      <c r="F1" s="195"/>
      <c r="G1" s="196" t="s">
        <v>195</v>
      </c>
      <c r="H1" s="197"/>
      <c r="I1" s="196" t="s">
        <v>196</v>
      </c>
      <c r="J1" s="197"/>
    </row>
    <row r="2" spans="1:10">
      <c r="A2" s="125" t="s">
        <v>10</v>
      </c>
      <c r="B2" s="126">
        <v>100000</v>
      </c>
      <c r="C2" s="125" t="s">
        <v>197</v>
      </c>
      <c r="D2" s="127">
        <f>B3-B4+B5</f>
        <v>27000</v>
      </c>
      <c r="E2" s="128" t="s">
        <v>198</v>
      </c>
      <c r="F2" s="129">
        <f>(D4-B6/B7)/(D4-D3)</f>
        <v>1.5</v>
      </c>
      <c r="G2" s="125" t="s">
        <v>199</v>
      </c>
      <c r="H2" s="130">
        <v>1</v>
      </c>
      <c r="I2" s="125" t="s">
        <v>200</v>
      </c>
      <c r="J2" s="131">
        <v>0.4</v>
      </c>
    </row>
    <row r="3" spans="1:10">
      <c r="A3" s="125" t="s">
        <v>201</v>
      </c>
      <c r="B3" s="126">
        <v>25000</v>
      </c>
      <c r="C3" s="125" t="s">
        <v>202</v>
      </c>
      <c r="D3" s="132">
        <f>D2/B7</f>
        <v>0.09</v>
      </c>
      <c r="E3" s="128" t="s">
        <v>203</v>
      </c>
      <c r="F3" s="133">
        <f>F2-1</f>
        <v>0.5</v>
      </c>
      <c r="G3" s="125" t="s">
        <v>204</v>
      </c>
      <c r="H3" s="132">
        <f>D4-(D4-D3)*H2*B7</f>
        <v>-33999.796666666669</v>
      </c>
      <c r="I3" s="125" t="s">
        <v>84</v>
      </c>
      <c r="J3" s="134">
        <v>1.4</v>
      </c>
    </row>
    <row r="4" spans="1:10">
      <c r="A4" s="125" t="s">
        <v>13</v>
      </c>
      <c r="B4" s="126">
        <v>10000</v>
      </c>
      <c r="C4" s="125" t="s">
        <v>205</v>
      </c>
      <c r="D4" s="132">
        <f>(B8+B9-B10)/B7</f>
        <v>0.20333333333333334</v>
      </c>
      <c r="E4" s="128"/>
      <c r="F4" s="135"/>
      <c r="G4" s="125"/>
      <c r="H4" s="126"/>
      <c r="I4" s="125" t="s">
        <v>206</v>
      </c>
      <c r="J4" s="136">
        <f>B7*(-(D4-B6/B7)/J3+D4)-(-B4+B5)</f>
        <v>22571.428571428569</v>
      </c>
    </row>
    <row r="5" spans="1:10">
      <c r="A5" s="125" t="s">
        <v>207</v>
      </c>
      <c r="B5" s="126">
        <v>12000</v>
      </c>
      <c r="C5" s="125" t="s">
        <v>208</v>
      </c>
      <c r="D5" s="132">
        <f>D3/(D4-D3)</f>
        <v>0.79411764705882348</v>
      </c>
      <c r="E5" s="128"/>
      <c r="F5" s="135"/>
      <c r="G5" s="125"/>
      <c r="H5" s="126"/>
      <c r="I5" s="125" t="s">
        <v>209</v>
      </c>
      <c r="J5" s="136">
        <f>J4/B3</f>
        <v>0.9028571428571428</v>
      </c>
    </row>
    <row r="6" spans="1:10">
      <c r="A6" s="125" t="s">
        <v>210</v>
      </c>
      <c r="B6" s="126">
        <v>10000</v>
      </c>
      <c r="C6" s="137" t="s">
        <v>211</v>
      </c>
      <c r="D6" s="131">
        <v>0.4</v>
      </c>
      <c r="E6" s="128"/>
      <c r="F6" s="135"/>
      <c r="G6" s="125"/>
      <c r="H6" s="126"/>
      <c r="I6" s="125"/>
      <c r="J6" s="126"/>
    </row>
    <row r="7" spans="1:10">
      <c r="A7" s="125" t="s">
        <v>212</v>
      </c>
      <c r="B7" s="126">
        <v>300000</v>
      </c>
      <c r="C7" s="125" t="s">
        <v>213</v>
      </c>
      <c r="D7" s="132">
        <f>D3-(D4*D6)/(1+D6)</f>
        <v>3.1904761904761894E-2</v>
      </c>
      <c r="E7" s="128"/>
      <c r="F7" s="135"/>
      <c r="G7" s="125"/>
      <c r="H7" s="126"/>
      <c r="I7" s="125"/>
      <c r="J7" s="126"/>
    </row>
    <row r="8" spans="1:10">
      <c r="A8" s="125" t="s">
        <v>156</v>
      </c>
      <c r="B8" s="126">
        <v>6000</v>
      </c>
      <c r="C8" s="125" t="s">
        <v>214</v>
      </c>
      <c r="D8" s="138">
        <f>D7*B7</f>
        <v>9571.4285714285688</v>
      </c>
      <c r="E8" s="128"/>
      <c r="F8" s="135"/>
      <c r="G8" s="125"/>
      <c r="H8" s="126"/>
      <c r="I8" s="125"/>
      <c r="J8" s="126"/>
    </row>
    <row r="9" spans="1:10" ht="15.75" thickBot="1">
      <c r="A9" s="125" t="s">
        <v>215</v>
      </c>
      <c r="B9" s="126">
        <v>75000</v>
      </c>
      <c r="C9" s="139"/>
      <c r="D9" s="140"/>
      <c r="E9" s="141"/>
      <c r="F9" s="142"/>
      <c r="G9" s="139"/>
      <c r="H9" s="140"/>
      <c r="I9" s="139"/>
      <c r="J9" s="140"/>
    </row>
    <row r="10" spans="1:10" ht="15.75" thickBot="1">
      <c r="A10" s="139" t="s">
        <v>165</v>
      </c>
      <c r="B10" s="140">
        <v>20000</v>
      </c>
      <c r="C10" s="143"/>
      <c r="D10" s="144"/>
      <c r="E10" s="144"/>
      <c r="F10" s="144"/>
      <c r="G10" s="144"/>
      <c r="H10" s="144"/>
      <c r="I10" s="144"/>
      <c r="J10" s="144"/>
    </row>
    <row r="11" spans="1:10">
      <c r="F11">
        <f>(D4-B6/B7)/(D4-(B3-B4+B5)/B7)</f>
        <v>1.5</v>
      </c>
    </row>
    <row r="13" spans="1:10">
      <c r="A13" t="s">
        <v>216</v>
      </c>
    </row>
    <row r="14" spans="1:10">
      <c r="A14" t="s">
        <v>217</v>
      </c>
    </row>
    <row r="15" spans="1:10">
      <c r="A15" t="s">
        <v>218</v>
      </c>
    </row>
    <row r="17" spans="1:4">
      <c r="A17" t="s">
        <v>219</v>
      </c>
    </row>
    <row r="19" spans="1:4">
      <c r="A19" t="s">
        <v>220</v>
      </c>
      <c r="B19">
        <f>B9*360/(B7*1.196)</f>
        <v>75.250836120401331</v>
      </c>
      <c r="C19" t="s">
        <v>221</v>
      </c>
    </row>
    <row r="21" spans="1:4">
      <c r="A21" t="s">
        <v>222</v>
      </c>
      <c r="B21">
        <f>B10*360/(0.4*300000*1.196)</f>
        <v>50.167224080267559</v>
      </c>
      <c r="C21" s="145" t="s">
        <v>223</v>
      </c>
    </row>
    <row r="23" spans="1:4">
      <c r="A23" t="s">
        <v>224</v>
      </c>
    </row>
    <row r="24" spans="1:4">
      <c r="A24" t="s">
        <v>225</v>
      </c>
    </row>
    <row r="25" spans="1:4">
      <c r="A25" t="s">
        <v>226</v>
      </c>
      <c r="B25" t="s">
        <v>227</v>
      </c>
    </row>
    <row r="26" spans="1:4" ht="15.75">
      <c r="A26" t="s">
        <v>228</v>
      </c>
      <c r="D26" s="146" t="s">
        <v>229</v>
      </c>
    </row>
    <row r="27" spans="1:4" ht="15.75">
      <c r="D27" s="147" t="s">
        <v>230</v>
      </c>
    </row>
    <row r="28" spans="1:4" ht="18.75">
      <c r="D28" s="148" t="s">
        <v>231</v>
      </c>
    </row>
    <row r="29" spans="1:4" ht="15.75">
      <c r="D29" s="147" t="s">
        <v>232</v>
      </c>
    </row>
    <row r="30" spans="1:4" ht="15.75">
      <c r="D30" s="148" t="s">
        <v>233</v>
      </c>
    </row>
    <row r="31" spans="1:4" ht="15.75">
      <c r="D31" s="147" t="s">
        <v>234</v>
      </c>
    </row>
    <row r="32" spans="1:4" ht="15.75">
      <c r="D32" s="148" t="s">
        <v>235</v>
      </c>
    </row>
    <row r="33" spans="4:4" ht="15.75">
      <c r="D33" s="147" t="s">
        <v>236</v>
      </c>
    </row>
    <row r="34" spans="4:4" ht="15.75">
      <c r="D34" s="147" t="s">
        <v>237</v>
      </c>
    </row>
    <row r="35" spans="4:4" ht="15.75">
      <c r="D35" s="148" t="s">
        <v>238</v>
      </c>
    </row>
    <row r="36" spans="4:4" ht="15.75">
      <c r="D36" s="147" t="s">
        <v>239</v>
      </c>
    </row>
    <row r="37" spans="4:4" ht="15.75">
      <c r="D37" s="148" t="s">
        <v>240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E36" sqref="E36"/>
    </sheetView>
  </sheetViews>
  <sheetFormatPr baseColWidth="10" defaultRowHeight="15"/>
  <cols>
    <col min="1" max="1" width="44.85546875" customWidth="1"/>
    <col min="5" max="5" width="18.140625" customWidth="1"/>
    <col min="12" max="12" width="11.42578125" customWidth="1"/>
  </cols>
  <sheetData>
    <row r="1" spans="1:9" ht="15.75" thickBot="1">
      <c r="A1" s="198" t="s">
        <v>241</v>
      </c>
      <c r="B1" s="199"/>
      <c r="C1" s="200"/>
      <c r="D1" s="201" t="s">
        <v>249</v>
      </c>
      <c r="E1" s="202"/>
    </row>
    <row r="2" spans="1:9" ht="30.75" thickBot="1">
      <c r="A2" s="152"/>
      <c r="B2" s="150" t="s">
        <v>242</v>
      </c>
      <c r="C2" s="151" t="s">
        <v>248</v>
      </c>
      <c r="D2" s="156" t="s">
        <v>250</v>
      </c>
      <c r="E2" s="157" t="s">
        <v>251</v>
      </c>
    </row>
    <row r="3" spans="1:9">
      <c r="A3" s="153" t="s">
        <v>243</v>
      </c>
      <c r="B3" s="154">
        <v>650000</v>
      </c>
      <c r="C3" s="163">
        <f>(B3)/$B$3</f>
        <v>1</v>
      </c>
      <c r="D3" s="153">
        <v>1</v>
      </c>
      <c r="E3" s="158">
        <v>220000</v>
      </c>
    </row>
    <row r="4" spans="1:9">
      <c r="A4" s="125" t="s">
        <v>244</v>
      </c>
      <c r="B4" s="149">
        <v>400000</v>
      </c>
      <c r="C4" s="164">
        <f t="shared" ref="C4:C7" si="0">(B4)/$B$3</f>
        <v>0.61538461538461542</v>
      </c>
      <c r="D4" s="125">
        <v>2</v>
      </c>
      <c r="E4" s="126">
        <v>420000</v>
      </c>
    </row>
    <row r="5" spans="1:9">
      <c r="A5" s="125" t="s">
        <v>245</v>
      </c>
      <c r="B5" s="149">
        <v>250000</v>
      </c>
      <c r="C5" s="164">
        <f t="shared" si="0"/>
        <v>0.38461538461538464</v>
      </c>
      <c r="D5" s="125">
        <v>3</v>
      </c>
      <c r="E5" s="126">
        <v>540000</v>
      </c>
    </row>
    <row r="6" spans="1:9" ht="15.75" thickBot="1">
      <c r="A6" s="125" t="s">
        <v>246</v>
      </c>
      <c r="B6" s="149">
        <v>175000</v>
      </c>
      <c r="C6" s="164">
        <f t="shared" si="0"/>
        <v>0.26923076923076922</v>
      </c>
      <c r="D6" s="139">
        <v>4</v>
      </c>
      <c r="E6" s="140">
        <v>650000</v>
      </c>
    </row>
    <row r="7" spans="1:9" ht="15.75" thickBot="1">
      <c r="A7" s="139" t="s">
        <v>247</v>
      </c>
      <c r="B7" s="155">
        <v>75000</v>
      </c>
      <c r="C7" s="165">
        <f t="shared" si="0"/>
        <v>0.11538461538461539</v>
      </c>
    </row>
    <row r="9" spans="1:9">
      <c r="A9" s="160" t="s">
        <v>256</v>
      </c>
      <c r="F9" s="160" t="s">
        <v>274</v>
      </c>
    </row>
    <row r="10" spans="1:9" ht="15.75" thickBot="1">
      <c r="A10" t="s">
        <v>259</v>
      </c>
    </row>
    <row r="11" spans="1:9">
      <c r="A11" s="153" t="s">
        <v>257</v>
      </c>
      <c r="B11" s="166">
        <f>B6/B12</f>
        <v>455000</v>
      </c>
      <c r="F11" s="149" t="s">
        <v>243</v>
      </c>
      <c r="G11" s="149" t="s">
        <v>275</v>
      </c>
      <c r="H11" s="149" t="s">
        <v>52</v>
      </c>
      <c r="I11" s="149" t="s">
        <v>276</v>
      </c>
    </row>
    <row r="12" spans="1:9">
      <c r="A12" s="125" t="s">
        <v>253</v>
      </c>
      <c r="B12" s="167">
        <f>(B3-B4)/B3</f>
        <v>0.38461538461538464</v>
      </c>
      <c r="F12" s="149">
        <v>100000</v>
      </c>
      <c r="G12" s="149">
        <f>F12*($G$22/$F$22)</f>
        <v>61538.461538461539</v>
      </c>
      <c r="H12" s="149">
        <f>$B$6</f>
        <v>175000</v>
      </c>
      <c r="I12" s="149">
        <f>G12+H12</f>
        <v>236538.46153846153</v>
      </c>
    </row>
    <row r="13" spans="1:9">
      <c r="A13" s="125" t="s">
        <v>254</v>
      </c>
      <c r="B13" s="168">
        <f>DATE(2008,1,1)</f>
        <v>39448</v>
      </c>
      <c r="F13" s="149">
        <v>200000</v>
      </c>
      <c r="G13" s="149">
        <f t="shared" ref="G13:G21" si="1">F13*($G$22/$F$22)</f>
        <v>123076.92307692308</v>
      </c>
      <c r="H13" s="149">
        <f t="shared" ref="H13:H23" si="2">$B$6</f>
        <v>175000</v>
      </c>
      <c r="I13" s="149">
        <f t="shared" ref="I13:I17" si="3">G13+H13</f>
        <v>298076.92307692306</v>
      </c>
    </row>
    <row r="14" spans="1:9" ht="30">
      <c r="A14" s="159" t="s">
        <v>255</v>
      </c>
      <c r="B14" s="136">
        <f>(B11/B3)</f>
        <v>0.7</v>
      </c>
      <c r="F14" s="149">
        <v>300000</v>
      </c>
      <c r="G14" s="149">
        <f t="shared" si="1"/>
        <v>184615.38461538462</v>
      </c>
      <c r="H14" s="149">
        <f t="shared" si="2"/>
        <v>175000</v>
      </c>
      <c r="I14" s="149">
        <f t="shared" si="3"/>
        <v>359615.38461538462</v>
      </c>
    </row>
    <row r="15" spans="1:9" ht="15.75" thickBot="1">
      <c r="A15" s="139" t="s">
        <v>258</v>
      </c>
      <c r="B15" s="169">
        <f>B11/B3*366</f>
        <v>256.2</v>
      </c>
      <c r="F15" s="149">
        <v>400000</v>
      </c>
      <c r="G15" s="149">
        <f t="shared" si="1"/>
        <v>246153.84615384616</v>
      </c>
      <c r="H15" s="149">
        <f t="shared" si="2"/>
        <v>175000</v>
      </c>
      <c r="I15" s="149">
        <f t="shared" si="3"/>
        <v>421153.84615384613</v>
      </c>
    </row>
    <row r="16" spans="1:9">
      <c r="F16" s="149">
        <v>500000</v>
      </c>
      <c r="G16" s="149">
        <f t="shared" si="1"/>
        <v>307692.30769230769</v>
      </c>
      <c r="H16" s="149">
        <f t="shared" si="2"/>
        <v>175000</v>
      </c>
      <c r="I16" s="149">
        <f t="shared" si="3"/>
        <v>482692.30769230769</v>
      </c>
    </row>
    <row r="17" spans="1:9">
      <c r="F17" s="149">
        <v>600000</v>
      </c>
      <c r="G17" s="149">
        <f t="shared" si="1"/>
        <v>369230.76923076925</v>
      </c>
      <c r="H17" s="149">
        <f t="shared" si="2"/>
        <v>175000</v>
      </c>
      <c r="I17" s="149">
        <f t="shared" si="3"/>
        <v>544230.76923076925</v>
      </c>
    </row>
    <row r="18" spans="1:9">
      <c r="A18" s="3" t="s">
        <v>252</v>
      </c>
      <c r="F18" s="149">
        <v>700000</v>
      </c>
      <c r="G18" s="149">
        <f t="shared" si="1"/>
        <v>430769.23076923081</v>
      </c>
      <c r="H18" s="149">
        <f t="shared" si="2"/>
        <v>175000</v>
      </c>
      <c r="I18" s="149">
        <f>G18+H18</f>
        <v>605769.23076923075</v>
      </c>
    </row>
    <row r="19" spans="1:9">
      <c r="B19" s="3"/>
      <c r="F19" s="149">
        <v>800000</v>
      </c>
      <c r="G19" s="149">
        <f t="shared" si="1"/>
        <v>492307.69230769231</v>
      </c>
      <c r="H19" s="149">
        <f t="shared" si="2"/>
        <v>175000</v>
      </c>
      <c r="I19" s="149">
        <f>G19+H19</f>
        <v>667307.69230769225</v>
      </c>
    </row>
    <row r="20" spans="1:9" ht="15.75" thickBot="1">
      <c r="A20" t="s">
        <v>260</v>
      </c>
      <c r="F20" s="149">
        <v>900000</v>
      </c>
      <c r="G20" s="149">
        <f t="shared" si="1"/>
        <v>553846.15384615387</v>
      </c>
      <c r="H20" s="149">
        <f t="shared" si="2"/>
        <v>175000</v>
      </c>
      <c r="I20" s="149">
        <f>G20+H20</f>
        <v>728846.15384615387</v>
      </c>
    </row>
    <row r="21" spans="1:9" ht="15.75" thickBot="1">
      <c r="A21" s="152" t="s">
        <v>261</v>
      </c>
      <c r="B21" s="170">
        <f>B13+B15</f>
        <v>39704.199999999997</v>
      </c>
      <c r="F21" s="149">
        <v>1000000</v>
      </c>
      <c r="G21" s="149">
        <f t="shared" si="1"/>
        <v>615384.61538461538</v>
      </c>
      <c r="H21" s="149">
        <f t="shared" si="2"/>
        <v>175000</v>
      </c>
      <c r="I21" s="149">
        <f>G21+H21</f>
        <v>790384.61538461538</v>
      </c>
    </row>
    <row r="22" spans="1:9">
      <c r="E22" t="s">
        <v>283</v>
      </c>
      <c r="F22" s="171">
        <f>B3</f>
        <v>650000</v>
      </c>
      <c r="G22" s="171">
        <f>B4</f>
        <v>400000</v>
      </c>
      <c r="H22" s="149">
        <f t="shared" si="2"/>
        <v>175000</v>
      </c>
      <c r="I22" s="171">
        <f>G22+H22</f>
        <v>575000</v>
      </c>
    </row>
    <row r="23" spans="1:9" ht="15.75" thickBot="1">
      <c r="A23" t="s">
        <v>262</v>
      </c>
      <c r="E23" t="s">
        <v>284</v>
      </c>
      <c r="F23" s="171">
        <f>B11</f>
        <v>455000</v>
      </c>
      <c r="G23" s="171">
        <f>F23*($G$22/$F$22)</f>
        <v>280000</v>
      </c>
      <c r="H23" s="149">
        <f t="shared" si="2"/>
        <v>175000</v>
      </c>
      <c r="I23" s="171">
        <f>G21+H21</f>
        <v>790384.61538461538</v>
      </c>
    </row>
    <row r="24" spans="1:9">
      <c r="A24" s="153" t="s">
        <v>263</v>
      </c>
      <c r="B24" s="166">
        <f>B3-B11</f>
        <v>195000</v>
      </c>
      <c r="F24" t="s">
        <v>277</v>
      </c>
    </row>
    <row r="25" spans="1:9" ht="15.75" thickBot="1">
      <c r="A25" s="139" t="s">
        <v>264</v>
      </c>
      <c r="B25" s="169">
        <f>(B24/B3)*100</f>
        <v>30</v>
      </c>
      <c r="F25" t="s">
        <v>278</v>
      </c>
    </row>
    <row r="26" spans="1:9">
      <c r="F26" t="s">
        <v>279</v>
      </c>
      <c r="G26" t="s">
        <v>280</v>
      </c>
    </row>
    <row r="27" spans="1:9">
      <c r="F27" t="s">
        <v>281</v>
      </c>
      <c r="G27" t="s">
        <v>282</v>
      </c>
    </row>
    <row r="29" spans="1:9">
      <c r="A29" t="s">
        <v>265</v>
      </c>
    </row>
    <row r="30" spans="1:9">
      <c r="A30" t="s">
        <v>266</v>
      </c>
    </row>
    <row r="31" spans="1:9">
      <c r="A31" t="s">
        <v>267</v>
      </c>
      <c r="F31" s="160" t="s">
        <v>285</v>
      </c>
    </row>
    <row r="32" spans="1:9">
      <c r="F32" t="s">
        <v>286</v>
      </c>
      <c r="I32">
        <f>F23-G23-H23</f>
        <v>0</v>
      </c>
    </row>
    <row r="33" spans="1:1">
      <c r="A33" s="161" t="s">
        <v>268</v>
      </c>
    </row>
    <row r="34" spans="1:1">
      <c r="A34" s="161" t="s">
        <v>269</v>
      </c>
    </row>
    <row r="35" spans="1:1">
      <c r="A35" s="162" t="s">
        <v>270</v>
      </c>
    </row>
    <row r="36" spans="1:1">
      <c r="A36" s="161" t="s">
        <v>271</v>
      </c>
    </row>
    <row r="37" spans="1:1">
      <c r="A37" s="161" t="s">
        <v>272</v>
      </c>
    </row>
    <row r="38" spans="1:1">
      <c r="A38" s="162" t="s">
        <v>273</v>
      </c>
    </row>
  </sheetData>
  <mergeCells count="2">
    <mergeCell ref="A1:C1"/>
    <mergeCell ref="D1: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2"/>
  <sheetViews>
    <sheetView tabSelected="1" topLeftCell="A9" workbookViewId="0">
      <selection activeCell="C53" sqref="C53"/>
    </sheetView>
  </sheetViews>
  <sheetFormatPr baseColWidth="10" defaultRowHeight="15"/>
  <cols>
    <col min="1" max="1" width="68.5703125" bestFit="1" customWidth="1"/>
    <col min="2" max="2" width="12.85546875" style="183" bestFit="1" customWidth="1"/>
    <col min="3" max="3" width="48.5703125" bestFit="1" customWidth="1"/>
    <col min="4" max="4" width="115.85546875" bestFit="1" customWidth="1"/>
    <col min="5" max="5" width="30.140625" bestFit="1" customWidth="1"/>
    <col min="7" max="7" width="20.7109375" bestFit="1" customWidth="1"/>
  </cols>
  <sheetData>
    <row r="1" spans="1:4">
      <c r="A1" s="203" t="s">
        <v>287</v>
      </c>
      <c r="B1" s="203"/>
    </row>
    <row r="2" spans="1:4">
      <c r="A2" s="149"/>
      <c r="B2" s="172" t="s">
        <v>288</v>
      </c>
    </row>
    <row r="3" spans="1:4">
      <c r="A3" s="173" t="s">
        <v>289</v>
      </c>
      <c r="B3" s="174">
        <v>230000</v>
      </c>
    </row>
    <row r="4" spans="1:4">
      <c r="A4" s="173" t="s">
        <v>290</v>
      </c>
      <c r="B4" s="174">
        <v>249600</v>
      </c>
    </row>
    <row r="5" spans="1:4">
      <c r="A5" s="149" t="s">
        <v>291</v>
      </c>
      <c r="B5" s="174">
        <v>672000</v>
      </c>
      <c r="D5">
        <f>1500</f>
        <v>1500</v>
      </c>
    </row>
    <row r="6" spans="1:4">
      <c r="A6" s="149" t="s">
        <v>292</v>
      </c>
      <c r="B6" s="174">
        <v>210000</v>
      </c>
    </row>
    <row r="7" spans="1:4">
      <c r="A7" s="149" t="s">
        <v>293</v>
      </c>
      <c r="B7" s="174">
        <v>25000</v>
      </c>
    </row>
    <row r="8" spans="1:4">
      <c r="A8" s="204" t="s">
        <v>294</v>
      </c>
      <c r="B8" s="205"/>
    </row>
    <row r="9" spans="1:4">
      <c r="A9" s="173" t="s">
        <v>295</v>
      </c>
      <c r="B9" s="174">
        <v>5500</v>
      </c>
      <c r="C9" t="s">
        <v>296</v>
      </c>
    </row>
    <row r="10" spans="1:4">
      <c r="A10" s="173" t="s">
        <v>297</v>
      </c>
      <c r="B10" s="174">
        <v>800</v>
      </c>
      <c r="C10" t="s">
        <v>296</v>
      </c>
    </row>
    <row r="11" spans="1:4">
      <c r="A11" s="175" t="s">
        <v>298</v>
      </c>
      <c r="B11" s="176">
        <f>B9-B10</f>
        <v>4700</v>
      </c>
      <c r="D11" t="s">
        <v>342</v>
      </c>
    </row>
    <row r="12" spans="1:4">
      <c r="A12" s="175" t="s">
        <v>299</v>
      </c>
      <c r="B12" s="177">
        <f>B11/B9</f>
        <v>0.8545454545454545</v>
      </c>
      <c r="C12" t="s">
        <v>300</v>
      </c>
      <c r="D12" t="s">
        <v>341</v>
      </c>
    </row>
    <row r="13" spans="1:4">
      <c r="A13" s="149"/>
      <c r="B13" s="174"/>
    </row>
    <row r="14" spans="1:4">
      <c r="A14" s="175" t="s">
        <v>301</v>
      </c>
      <c r="B14" s="174"/>
    </row>
    <row r="15" spans="1:4">
      <c r="A15" s="173" t="s">
        <v>302</v>
      </c>
      <c r="B15" s="174">
        <v>150</v>
      </c>
      <c r="C15" t="s">
        <v>303</v>
      </c>
    </row>
    <row r="16" spans="1:4">
      <c r="A16" s="173" t="s">
        <v>304</v>
      </c>
      <c r="B16" s="174">
        <v>600</v>
      </c>
      <c r="C16" t="s">
        <v>303</v>
      </c>
    </row>
    <row r="17" spans="1:4">
      <c r="A17" s="149" t="s">
        <v>305</v>
      </c>
      <c r="B17" s="177">
        <f>B15/(B15+B16)</f>
        <v>0.2</v>
      </c>
      <c r="C17" t="s">
        <v>343</v>
      </c>
    </row>
    <row r="18" spans="1:4">
      <c r="A18" s="149"/>
      <c r="B18" s="174"/>
    </row>
    <row r="19" spans="1:4">
      <c r="A19" s="173" t="s">
        <v>306</v>
      </c>
      <c r="B19" s="176">
        <f>B4</f>
        <v>249600</v>
      </c>
    </row>
    <row r="20" spans="1:4">
      <c r="A20" s="173" t="s">
        <v>307</v>
      </c>
      <c r="B20" s="176">
        <f>B5</f>
        <v>672000</v>
      </c>
    </row>
    <row r="21" spans="1:4">
      <c r="A21" s="173" t="s">
        <v>292</v>
      </c>
      <c r="B21" s="176">
        <f>B6</f>
        <v>210000</v>
      </c>
    </row>
    <row r="22" spans="1:4">
      <c r="A22" s="149" t="s">
        <v>308</v>
      </c>
      <c r="B22" s="176">
        <f>SUM(B19:B21)</f>
        <v>1131600</v>
      </c>
    </row>
    <row r="23" spans="1:4">
      <c r="A23" s="175" t="s">
        <v>309</v>
      </c>
      <c r="B23" s="176">
        <f>(B22)*B17</f>
        <v>226320</v>
      </c>
      <c r="C23" t="s">
        <v>344</v>
      </c>
    </row>
    <row r="24" spans="1:4">
      <c r="A24" s="149"/>
      <c r="B24" s="174"/>
      <c r="D24" t="s">
        <v>310</v>
      </c>
    </row>
    <row r="25" spans="1:4">
      <c r="A25" s="175" t="s">
        <v>311</v>
      </c>
      <c r="B25" s="174"/>
    </row>
    <row r="26" spans="1:4">
      <c r="A26" s="149" t="s">
        <v>312</v>
      </c>
      <c r="B26" s="174">
        <f>B23</f>
        <v>226320</v>
      </c>
    </row>
    <row r="27" spans="1:4">
      <c r="A27" s="173" t="s">
        <v>313</v>
      </c>
      <c r="B27" s="176">
        <f>B3</f>
        <v>230000</v>
      </c>
    </row>
    <row r="28" spans="1:4">
      <c r="A28" s="173" t="s">
        <v>207</v>
      </c>
      <c r="B28" s="178"/>
    </row>
    <row r="29" spans="1:4">
      <c r="A29" s="179" t="s">
        <v>314</v>
      </c>
      <c r="B29" s="174">
        <f>225000/15</f>
        <v>15000</v>
      </c>
      <c r="C29" t="s">
        <v>347</v>
      </c>
      <c r="D29" t="s">
        <v>345</v>
      </c>
    </row>
    <row r="30" spans="1:4">
      <c r="A30" s="179" t="s">
        <v>315</v>
      </c>
      <c r="B30" s="174">
        <f>500000/4</f>
        <v>125000</v>
      </c>
      <c r="C30" t="s">
        <v>347</v>
      </c>
      <c r="D30" t="s">
        <v>346</v>
      </c>
    </row>
    <row r="31" spans="1:4">
      <c r="A31" s="173" t="s">
        <v>316</v>
      </c>
      <c r="B31" s="174">
        <v>25000</v>
      </c>
      <c r="D31" t="s">
        <v>317</v>
      </c>
    </row>
    <row r="32" spans="1:4">
      <c r="A32" s="175" t="s">
        <v>318</v>
      </c>
      <c r="B32" s="174">
        <f>SUM(B26:B31)</f>
        <v>621320</v>
      </c>
      <c r="D32" t="s">
        <v>319</v>
      </c>
    </row>
    <row r="33" spans="1:4">
      <c r="A33" s="175"/>
      <c r="B33" s="174"/>
    </row>
    <row r="34" spans="1:4">
      <c r="A34" s="175" t="s">
        <v>320</v>
      </c>
      <c r="B34" s="174">
        <f>B32/B12</f>
        <v>727076.59574468085</v>
      </c>
      <c r="C34" t="s">
        <v>348</v>
      </c>
    </row>
    <row r="35" spans="1:4">
      <c r="A35" s="175" t="s">
        <v>321</v>
      </c>
      <c r="B35" s="174">
        <f>INT(B34/B9)+1</f>
        <v>133</v>
      </c>
      <c r="C35">
        <f>B34/B9</f>
        <v>132.19574468085105</v>
      </c>
      <c r="D35" s="46" t="s">
        <v>349</v>
      </c>
    </row>
    <row r="36" spans="1:4">
      <c r="A36" s="149"/>
      <c r="B36" s="174"/>
    </row>
    <row r="37" spans="1:4">
      <c r="A37" s="180" t="s">
        <v>322</v>
      </c>
      <c r="B37" s="174">
        <v>40</v>
      </c>
      <c r="C37" t="s">
        <v>303</v>
      </c>
    </row>
    <row r="38" spans="1:4">
      <c r="A38" s="180" t="s">
        <v>323</v>
      </c>
      <c r="B38" s="174"/>
    </row>
    <row r="39" spans="1:4">
      <c r="A39" s="180" t="s">
        <v>324</v>
      </c>
      <c r="B39" s="174">
        <f>(B35-B15)/B37</f>
        <v>-0.42499999999999999</v>
      </c>
      <c r="D39" t="s">
        <v>325</v>
      </c>
    </row>
    <row r="40" spans="1:4">
      <c r="A40" s="180" t="s">
        <v>326</v>
      </c>
      <c r="B40" s="181">
        <f>100%-NORMSDIST(B39)</f>
        <v>0.66458166262983043</v>
      </c>
    </row>
    <row r="41" spans="1:4">
      <c r="A41" s="149"/>
      <c r="B41" s="174"/>
    </row>
    <row r="42" spans="1:4">
      <c r="A42" s="180" t="s">
        <v>327</v>
      </c>
      <c r="B42" s="174"/>
    </row>
    <row r="43" spans="1:4">
      <c r="A43" s="180" t="s">
        <v>328</v>
      </c>
      <c r="B43" s="174">
        <v>350000</v>
      </c>
      <c r="C43" t="s">
        <v>329</v>
      </c>
      <c r="D43" t="s">
        <v>330</v>
      </c>
    </row>
    <row r="44" spans="1:4">
      <c r="A44" s="180" t="s">
        <v>331</v>
      </c>
      <c r="B44" s="181">
        <v>0.18</v>
      </c>
    </row>
    <row r="45" spans="1:4">
      <c r="A45" s="182" t="s">
        <v>332</v>
      </c>
      <c r="B45" s="174">
        <f>B44*B43</f>
        <v>63000</v>
      </c>
      <c r="D45" t="s">
        <v>336</v>
      </c>
    </row>
    <row r="46" spans="1:4">
      <c r="A46" s="180" t="s">
        <v>333</v>
      </c>
      <c r="B46" s="174">
        <f>B45*3/2</f>
        <v>94500</v>
      </c>
    </row>
    <row r="47" spans="1:4">
      <c r="A47" s="149"/>
      <c r="B47" s="174"/>
      <c r="D47" t="s">
        <v>338</v>
      </c>
    </row>
    <row r="48" spans="1:4">
      <c r="A48" s="180" t="s">
        <v>334</v>
      </c>
      <c r="B48" s="174">
        <f>(B32+B46)/B12</f>
        <v>837661.70212765958</v>
      </c>
      <c r="C48" t="s">
        <v>335</v>
      </c>
    </row>
    <row r="49" spans="1:3">
      <c r="A49" s="180" t="s">
        <v>337</v>
      </c>
      <c r="B49" s="174">
        <f>B48/B9</f>
        <v>152.30212765957447</v>
      </c>
    </row>
    <row r="50" spans="1:3">
      <c r="A50" s="180" t="s">
        <v>324</v>
      </c>
      <c r="B50" s="174">
        <f>(B49-B15)/B37</f>
        <v>5.7553191489361666E-2</v>
      </c>
    </row>
    <row r="51" spans="1:3">
      <c r="A51" s="180" t="s">
        <v>339</v>
      </c>
      <c r="B51" s="181">
        <f>1-NORMSDIST(B50)</f>
        <v>0.47705226780434062</v>
      </c>
    </row>
    <row r="52" spans="1:3">
      <c r="C52" t="s">
        <v>340</v>
      </c>
    </row>
  </sheetData>
  <mergeCells count="2">
    <mergeCell ref="A1:B1"/>
    <mergeCell ref="A8:B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Cas 1 - ROSSIGNOL</vt:lpstr>
      <vt:lpstr>Cas 2 - LEVFI</vt:lpstr>
      <vt:lpstr>Cas 3&amp;4 - BATIBOIS</vt:lpstr>
      <vt:lpstr>Cas 5 - CAF</vt:lpstr>
      <vt:lpstr>Cas 6 - DIFF</vt:lpstr>
      <vt:lpstr>Cas 7 - AVEN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2008-06-06T07:30:40Z</dcterms:created>
  <dcterms:modified xsi:type="dcterms:W3CDTF">2008-06-08T22:42:23Z</dcterms:modified>
</cp:coreProperties>
</file>