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735" windowHeight="8100" activeTab="1"/>
  </bookViews>
  <sheets>
    <sheet name="Tableau STORM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G36" i="2"/>
  <c r="M37" s="1"/>
  <c r="M38" s="1"/>
  <c r="M36"/>
  <c r="M34"/>
  <c r="G32"/>
  <c r="M29"/>
  <c r="G33"/>
  <c r="G35"/>
  <c r="G34"/>
  <c r="G31"/>
  <c r="F15"/>
  <c r="G30"/>
  <c r="K24"/>
  <c r="K23"/>
  <c r="K22"/>
  <c r="K21"/>
  <c r="K20"/>
  <c r="K19"/>
  <c r="F19"/>
  <c r="F18"/>
  <c r="F20" s="1"/>
  <c r="G15"/>
  <c r="F16"/>
  <c r="G16" s="1"/>
  <c r="F4"/>
  <c r="F7" s="1"/>
  <c r="G5"/>
  <c r="G6"/>
  <c r="G8"/>
  <c r="G9"/>
  <c r="G10"/>
  <c r="G11"/>
  <c r="G12"/>
  <c r="G4"/>
  <c r="F12"/>
  <c r="F9"/>
  <c r="F11"/>
  <c r="F10"/>
  <c r="F8"/>
  <c r="F6"/>
  <c r="F5"/>
  <c r="G4" i="1"/>
  <c r="G38" i="2" l="1"/>
  <c r="G40"/>
  <c r="G41"/>
  <c r="G39"/>
  <c r="G37"/>
  <c r="M30" s="1"/>
  <c r="M31" s="1"/>
  <c r="F21"/>
  <c r="N19"/>
  <c r="N22" s="1"/>
  <c r="N23" s="1"/>
  <c r="M26" s="1"/>
  <c r="F13"/>
  <c r="G7"/>
  <c r="F14" l="1"/>
  <c r="G13"/>
</calcChain>
</file>

<file path=xl/sharedStrings.xml><?xml version="1.0" encoding="utf-8"?>
<sst xmlns="http://schemas.openxmlformats.org/spreadsheetml/2006/main" count="159" uniqueCount="81">
  <si>
    <t>Q1 : Compte de résultat différentiel et BN2 2008</t>
  </si>
  <si>
    <t>Chiffres d'affaires (CA)</t>
  </si>
  <si>
    <t>Achats nets de matières premières</t>
  </si>
  <si>
    <t>Variations de stocks de matières premières</t>
  </si>
  <si>
    <t>Charges variables  d'approvisionnement</t>
  </si>
  <si>
    <t>Charges variables de production</t>
  </si>
  <si>
    <t>COUTS VARIABLES des matières premières consommées</t>
  </si>
  <si>
    <t>COUTS VARIABLES de production</t>
  </si>
  <si>
    <t>Variations des stocks de produits finis</t>
  </si>
  <si>
    <t>Charges variables de distribution</t>
  </si>
  <si>
    <t>COUTS VARIABLES des produits vendus (CV)</t>
  </si>
  <si>
    <t>MARGE SUR COUT VARIABLE (MCV)</t>
  </si>
  <si>
    <t>TMCV</t>
  </si>
  <si>
    <t>Charges fixes (CF)</t>
  </si>
  <si>
    <t>Résultats avant impôts = BN2 2008</t>
  </si>
  <si>
    <t>Montant</t>
  </si>
  <si>
    <t>% CA</t>
  </si>
  <si>
    <t>Q2 : CA*, Date point mort, Marge et indice de sécurité en 2008</t>
  </si>
  <si>
    <t>Seuil de rentabilité = CA*</t>
  </si>
  <si>
    <t>Date du point mort en 2008</t>
  </si>
  <si>
    <t xml:space="preserve">Marge de Sécurité </t>
  </si>
  <si>
    <t>Indice de sécurité</t>
  </si>
  <si>
    <t>Q3 : Taux de croissance maximum du CA en 2009 par autofinancement</t>
  </si>
  <si>
    <t>Besoin en fonds de roulement à fin 2008</t>
  </si>
  <si>
    <t>Stocks MP</t>
  </si>
  <si>
    <t>Stocks Produits Finis</t>
  </si>
  <si>
    <t>Créances clients</t>
  </si>
  <si>
    <t>Dettes fournisseurs</t>
  </si>
  <si>
    <t>BFRE</t>
  </si>
  <si>
    <t>b = BFRE/CA HT</t>
  </si>
  <si>
    <t>CAF à fin 2008</t>
  </si>
  <si>
    <t>BN1</t>
  </si>
  <si>
    <t>Amortissements</t>
  </si>
  <si>
    <t>Dividendes à verser en 2009</t>
  </si>
  <si>
    <t>a = CAF/CA HT</t>
  </si>
  <si>
    <t>Taux de croissance maximum du CA en 2009 par autofinancement</t>
  </si>
  <si>
    <t>a/(b-a)</t>
  </si>
  <si>
    <t>Q4 : Compte de résultat différentiel prévisionnel et BN2 2009</t>
  </si>
  <si>
    <t>Coefficient d'augmentation du CA</t>
  </si>
  <si>
    <t>CA prévisionnel</t>
  </si>
  <si>
    <t>TMCV prévisionnel</t>
  </si>
  <si>
    <t>Nouvelles Charges Variables prévisionnelles CV</t>
  </si>
  <si>
    <t xml:space="preserve">Dotation aux amortissements </t>
  </si>
  <si>
    <t>Campagne publicitaire</t>
  </si>
  <si>
    <t>Frais financiers du prêt de 1.530.000€ (1.375.000 + 155.000) à 6%/an</t>
  </si>
  <si>
    <t>Nouvelles Charges fixes prévisionnelles CF</t>
  </si>
  <si>
    <t>Résultat Prévisionnel avant impôts = BN2 2009</t>
  </si>
  <si>
    <t>Seuil de rentabilité prévisionnel = CA*</t>
  </si>
  <si>
    <t>Date du point mort en 2009</t>
  </si>
  <si>
    <t>Marge de sécurité</t>
  </si>
  <si>
    <t>Q5 : Croissance BN2 et CA 2009</t>
  </si>
  <si>
    <t>BN2 2008</t>
  </si>
  <si>
    <t>BN2 2009</t>
  </si>
  <si>
    <t>Taux de croissance du BN2</t>
  </si>
  <si>
    <t>Taux de croissance objectif du BN2</t>
  </si>
  <si>
    <t>BN2 à atteindre 2009</t>
  </si>
  <si>
    <t>Variation du TMCV en nbre de points</t>
  </si>
  <si>
    <t>TMCV 2009</t>
  </si>
  <si>
    <t>CA à réaliser en 2009</t>
  </si>
  <si>
    <t>Taux de croissance du CA en 2009</t>
  </si>
  <si>
    <t>Données Comptables 2008</t>
  </si>
  <si>
    <t>Achats auprès de fournisseurs externes</t>
  </si>
  <si>
    <t>Achat de matières premières</t>
  </si>
  <si>
    <t>Charges Variables de distribution</t>
  </si>
  <si>
    <t>Charges fixes internes dont amortissements 100000€</t>
  </si>
  <si>
    <t>Charges Variables de production</t>
  </si>
  <si>
    <t>Charges Variables d'approvisionnement</t>
  </si>
  <si>
    <t>Chiffre d'affaires CA HT</t>
  </si>
  <si>
    <t>RRR* sur achats de Matières Premières</t>
  </si>
  <si>
    <t>Stock final Matières Premières</t>
  </si>
  <si>
    <t>Stock final Produits Finis</t>
  </si>
  <si>
    <t>Stock Initial Matières Premières</t>
  </si>
  <si>
    <t>Stock Initial Produits Finis</t>
  </si>
  <si>
    <t>Délai de paiement Client</t>
  </si>
  <si>
    <t>Délai de paiement fournisseur</t>
  </si>
  <si>
    <t>Taux TVA</t>
  </si>
  <si>
    <t>1 - CV/CA</t>
  </si>
  <si>
    <t>TMCV*CA</t>
  </si>
  <si>
    <t>CA - CV</t>
  </si>
  <si>
    <t>CA - TMCV*CA</t>
  </si>
  <si>
    <t>CV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</si>
</sst>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2" fillId="0" borderId="5" xfId="0" applyFont="1" applyBorder="1"/>
    <xf numFmtId="0" fontId="2" fillId="0" borderId="22" xfId="0" applyFont="1" applyBorder="1"/>
    <xf numFmtId="0" fontId="2" fillId="0" borderId="6" xfId="0" applyFont="1" applyBorder="1"/>
    <xf numFmtId="0" fontId="0" fillId="0" borderId="7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23" xfId="0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9" fontId="0" fillId="0" borderId="15" xfId="1" applyFont="1" applyBorder="1"/>
    <xf numFmtId="0" fontId="0" fillId="0" borderId="24" xfId="0" applyBorder="1"/>
    <xf numFmtId="0" fontId="0" fillId="0" borderId="25" xfId="0" applyBorder="1"/>
    <xf numFmtId="9" fontId="0" fillId="0" borderId="10" xfId="1" applyFont="1" applyBorder="1"/>
    <xf numFmtId="0" fontId="0" fillId="0" borderId="29" xfId="0" applyBorder="1"/>
    <xf numFmtId="0" fontId="0" fillId="0" borderId="0" xfId="0" applyBorder="1"/>
    <xf numFmtId="0" fontId="0" fillId="3" borderId="14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3" xfId="0" applyFill="1" applyBorder="1"/>
    <xf numFmtId="0" fontId="0" fillId="4" borderId="21" xfId="0" applyFill="1" applyBorder="1"/>
    <xf numFmtId="9" fontId="0" fillId="4" borderId="10" xfId="1" applyFont="1" applyFill="1" applyBorder="1"/>
    <xf numFmtId="9" fontId="0" fillId="0" borderId="21" xfId="1" applyFont="1" applyBorder="1"/>
    <xf numFmtId="10" fontId="0" fillId="0" borderId="21" xfId="1" applyNumberFormat="1" applyFont="1" applyBorder="1"/>
    <xf numFmtId="9" fontId="0" fillId="3" borderId="10" xfId="1" applyFont="1" applyFill="1" applyBorder="1"/>
    <xf numFmtId="9" fontId="0" fillId="5" borderId="10" xfId="1" applyFont="1" applyFill="1" applyBorder="1"/>
    <xf numFmtId="14" fontId="0" fillId="3" borderId="21" xfId="0" applyNumberFormat="1" applyFill="1" applyBorder="1"/>
    <xf numFmtId="164" fontId="0" fillId="3" borderId="14" xfId="1" applyNumberFormat="1" applyFont="1" applyFill="1" applyBorder="1"/>
    <xf numFmtId="10" fontId="0" fillId="3" borderId="14" xfId="1" applyNumberFormat="1" applyFont="1" applyFill="1" applyBorder="1"/>
    <xf numFmtId="0" fontId="0" fillId="0" borderId="30" xfId="0" applyBorder="1" applyAlignment="1">
      <alignment horizontal="center"/>
    </xf>
    <xf numFmtId="0" fontId="0" fillId="0" borderId="32" xfId="0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1" applyNumberFormat="1" applyFont="1" applyBorder="1"/>
    <xf numFmtId="0" fontId="0" fillId="4" borderId="20" xfId="0" applyFill="1" applyBorder="1"/>
    <xf numFmtId="9" fontId="0" fillId="3" borderId="4" xfId="1" applyNumberFormat="1" applyFont="1" applyFill="1" applyBorder="1"/>
    <xf numFmtId="9" fontId="0" fillId="0" borderId="20" xfId="1" applyFont="1" applyBorder="1"/>
    <xf numFmtId="1" fontId="0" fillId="0" borderId="21" xfId="0" applyNumberFormat="1" applyBorder="1"/>
    <xf numFmtId="10" fontId="0" fillId="0" borderId="21" xfId="0" applyNumberFormat="1" applyBorder="1"/>
    <xf numFmtId="1" fontId="0" fillId="3" borderId="14" xfId="0" applyNumberFormat="1" applyFill="1" applyBorder="1"/>
    <xf numFmtId="1" fontId="0" fillId="4" borderId="21" xfId="0" applyNumberFormat="1" applyFill="1" applyBorder="1"/>
    <xf numFmtId="1" fontId="0" fillId="3" borderId="21" xfId="0" applyNumberFormat="1" applyFill="1" applyBorder="1"/>
    <xf numFmtId="164" fontId="0" fillId="3" borderId="21" xfId="1" applyNumberFormat="1" applyFont="1" applyFill="1" applyBorder="1"/>
    <xf numFmtId="10" fontId="0" fillId="0" borderId="34" xfId="0" applyNumberFormat="1" applyBorder="1"/>
    <xf numFmtId="0" fontId="0" fillId="3" borderId="31" xfId="0" applyFill="1" applyBorder="1"/>
    <xf numFmtId="0" fontId="0" fillId="3" borderId="32" xfId="0" applyFill="1" applyBorder="1"/>
    <xf numFmtId="164" fontId="0" fillId="3" borderId="33" xfId="1" applyNumberFormat="1" applyFont="1" applyFill="1" applyBorder="1"/>
    <xf numFmtId="0" fontId="0" fillId="3" borderId="17" xfId="0" applyFill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workbookViewId="0">
      <selection activeCell="G53" sqref="G53"/>
    </sheetView>
  </sheetViews>
  <sheetFormatPr baseColWidth="10" defaultRowHeight="15"/>
  <cols>
    <col min="12" max="12" width="14.28515625" customWidth="1"/>
    <col min="13" max="13" width="11.42578125" customWidth="1"/>
  </cols>
  <sheetData>
    <row r="1" spans="1:13" ht="15.75" thickBot="1">
      <c r="A1" s="2" t="s">
        <v>0</v>
      </c>
      <c r="B1" s="2"/>
      <c r="C1" s="2"/>
      <c r="D1" s="2"/>
      <c r="I1" s="2" t="s">
        <v>60</v>
      </c>
      <c r="J1" s="2"/>
      <c r="K1" s="2"/>
    </row>
    <row r="2" spans="1:13" ht="15.75" thickBot="1">
      <c r="F2" s="19" t="s">
        <v>15</v>
      </c>
      <c r="G2" s="19" t="s">
        <v>16</v>
      </c>
      <c r="I2" s="31" t="s">
        <v>61</v>
      </c>
      <c r="J2" s="32"/>
      <c r="K2" s="32"/>
      <c r="L2" s="33"/>
    </row>
    <row r="3" spans="1:13">
      <c r="A3" s="6" t="s">
        <v>1</v>
      </c>
      <c r="B3" s="7"/>
      <c r="C3" s="7"/>
      <c r="D3" s="7"/>
      <c r="E3" s="8"/>
      <c r="F3" s="17">
        <v>3217500</v>
      </c>
      <c r="G3" s="18"/>
      <c r="I3" s="3" t="s">
        <v>62</v>
      </c>
      <c r="J3" s="1"/>
      <c r="K3" s="1"/>
      <c r="L3" s="9"/>
      <c r="M3" s="20">
        <v>1114580</v>
      </c>
    </row>
    <row r="4" spans="1:13">
      <c r="A4" s="3" t="s">
        <v>2</v>
      </c>
      <c r="B4" s="1"/>
      <c r="C4" s="1"/>
      <c r="D4" s="1"/>
      <c r="E4" s="9"/>
      <c r="F4" s="13">
        <v>1114580</v>
      </c>
      <c r="G4" s="34">
        <f>F4/F3</f>
        <v>0.34641181041181041</v>
      </c>
      <c r="I4" s="3" t="s">
        <v>66</v>
      </c>
      <c r="J4" s="1"/>
      <c r="K4" s="1"/>
      <c r="L4" s="9"/>
      <c r="M4" s="21">
        <v>126700</v>
      </c>
    </row>
    <row r="5" spans="1:13">
      <c r="A5" s="3" t="s">
        <v>3</v>
      </c>
      <c r="B5" s="1"/>
      <c r="C5" s="1"/>
      <c r="D5" s="1"/>
      <c r="E5" s="9"/>
      <c r="F5" s="13"/>
      <c r="G5" s="14"/>
      <c r="I5" s="3" t="s">
        <v>63</v>
      </c>
      <c r="J5" s="1"/>
      <c r="K5" s="1"/>
      <c r="L5" s="9"/>
      <c r="M5" s="21">
        <v>222225</v>
      </c>
    </row>
    <row r="6" spans="1:13">
      <c r="A6" s="3" t="s">
        <v>4</v>
      </c>
      <c r="B6" s="1"/>
      <c r="C6" s="1"/>
      <c r="D6" s="1"/>
      <c r="E6" s="9"/>
      <c r="F6" s="13"/>
      <c r="G6" s="14"/>
      <c r="I6" s="3" t="s">
        <v>64</v>
      </c>
      <c r="J6" s="1"/>
      <c r="K6" s="1"/>
      <c r="L6" s="9"/>
      <c r="M6" s="21">
        <v>625000</v>
      </c>
    </row>
    <row r="7" spans="1:13">
      <c r="A7" s="3" t="s">
        <v>6</v>
      </c>
      <c r="B7" s="1"/>
      <c r="C7" s="1"/>
      <c r="D7" s="1"/>
      <c r="E7" s="9"/>
      <c r="F7" s="13"/>
      <c r="G7" s="14"/>
      <c r="I7" s="3" t="s">
        <v>65</v>
      </c>
      <c r="J7" s="1"/>
      <c r="K7" s="1"/>
      <c r="L7" s="9"/>
      <c r="M7" s="21">
        <v>955300</v>
      </c>
    </row>
    <row r="8" spans="1:13">
      <c r="A8" s="3" t="s">
        <v>5</v>
      </c>
      <c r="B8" s="1"/>
      <c r="C8" s="1"/>
      <c r="D8" s="1"/>
      <c r="E8" s="9"/>
      <c r="F8" s="13"/>
      <c r="G8" s="14"/>
      <c r="I8" s="3" t="s">
        <v>67</v>
      </c>
      <c r="J8" s="1"/>
      <c r="K8" s="1"/>
      <c r="L8" s="9"/>
      <c r="M8" s="21">
        <v>3217500</v>
      </c>
    </row>
    <row r="9" spans="1:13">
      <c r="A9" s="3" t="s">
        <v>7</v>
      </c>
      <c r="B9" s="1"/>
      <c r="C9" s="1"/>
      <c r="D9" s="1"/>
      <c r="E9" s="9"/>
      <c r="F9" s="13"/>
      <c r="G9" s="14"/>
      <c r="I9" s="3" t="s">
        <v>68</v>
      </c>
      <c r="J9" s="1"/>
      <c r="K9" s="1"/>
      <c r="L9" s="9"/>
      <c r="M9" s="21">
        <v>28630</v>
      </c>
    </row>
    <row r="10" spans="1:13">
      <c r="A10" s="3" t="s">
        <v>8</v>
      </c>
      <c r="B10" s="1"/>
      <c r="C10" s="1"/>
      <c r="D10" s="1"/>
      <c r="E10" s="9"/>
      <c r="F10" s="13"/>
      <c r="G10" s="14"/>
      <c r="I10" s="3" t="s">
        <v>69</v>
      </c>
      <c r="J10" s="1"/>
      <c r="K10" s="1"/>
      <c r="L10" s="9"/>
      <c r="M10" s="21">
        <v>350700</v>
      </c>
    </row>
    <row r="11" spans="1:13">
      <c r="A11" s="3" t="s">
        <v>9</v>
      </c>
      <c r="B11" s="1"/>
      <c r="C11" s="1"/>
      <c r="D11" s="1"/>
      <c r="E11" s="9"/>
      <c r="F11" s="13"/>
      <c r="G11" s="14"/>
      <c r="I11" s="3" t="s">
        <v>70</v>
      </c>
      <c r="J11" s="1"/>
      <c r="K11" s="1"/>
      <c r="L11" s="9"/>
      <c r="M11" s="21">
        <v>198400</v>
      </c>
    </row>
    <row r="12" spans="1:13">
      <c r="A12" s="3" t="s">
        <v>10</v>
      </c>
      <c r="B12" s="1"/>
      <c r="C12" s="1"/>
      <c r="D12" s="1"/>
      <c r="E12" s="9"/>
      <c r="F12" s="13"/>
      <c r="G12" s="14"/>
      <c r="I12" s="3" t="s">
        <v>71</v>
      </c>
      <c r="J12" s="1"/>
      <c r="K12" s="1"/>
      <c r="L12" s="9"/>
      <c r="M12" s="21">
        <v>327100</v>
      </c>
    </row>
    <row r="13" spans="1:13" ht="15.75" thickBot="1">
      <c r="A13" s="3" t="s">
        <v>11</v>
      </c>
      <c r="B13" s="1"/>
      <c r="C13" s="1"/>
      <c r="D13" s="1"/>
      <c r="E13" s="9"/>
      <c r="F13" s="13"/>
      <c r="G13" s="14"/>
      <c r="I13" s="10" t="s">
        <v>72</v>
      </c>
      <c r="J13" s="11"/>
      <c r="K13" s="11"/>
      <c r="L13" s="12"/>
      <c r="M13" s="22">
        <v>215625</v>
      </c>
    </row>
    <row r="14" spans="1:13">
      <c r="A14" s="3" t="s">
        <v>12</v>
      </c>
      <c r="B14" s="1"/>
      <c r="C14" s="1"/>
      <c r="D14" s="1"/>
      <c r="E14" s="9"/>
      <c r="F14" s="13"/>
      <c r="G14" s="14"/>
    </row>
    <row r="15" spans="1:13">
      <c r="A15" s="3" t="s">
        <v>13</v>
      </c>
      <c r="B15" s="1"/>
      <c r="C15" s="1"/>
      <c r="D15" s="1"/>
      <c r="E15" s="9"/>
      <c r="F15" s="13"/>
      <c r="G15" s="14"/>
    </row>
    <row r="16" spans="1:13" ht="15.75" thickBot="1">
      <c r="A16" s="10" t="s">
        <v>14</v>
      </c>
      <c r="B16" s="11"/>
      <c r="C16" s="11"/>
      <c r="D16" s="11"/>
      <c r="E16" s="12"/>
      <c r="F16" s="15"/>
      <c r="G16" s="16"/>
    </row>
    <row r="18" spans="1:10" ht="15.75" thickBot="1">
      <c r="A18" s="2" t="s">
        <v>17</v>
      </c>
      <c r="B18" s="2"/>
      <c r="C18" s="2"/>
      <c r="D18" s="2"/>
      <c r="E18" s="2"/>
    </row>
    <row r="19" spans="1:10">
      <c r="A19" s="6" t="s">
        <v>18</v>
      </c>
      <c r="B19" s="7"/>
      <c r="C19" s="7"/>
      <c r="D19" s="7"/>
      <c r="E19" s="8"/>
      <c r="F19" s="20"/>
    </row>
    <row r="20" spans="1:10">
      <c r="A20" s="3" t="s">
        <v>19</v>
      </c>
      <c r="B20" s="1"/>
      <c r="C20" s="1"/>
      <c r="D20" s="1"/>
      <c r="E20" s="9"/>
      <c r="F20" s="21"/>
    </row>
    <row r="21" spans="1:10">
      <c r="A21" s="3" t="s">
        <v>20</v>
      </c>
      <c r="B21" s="1"/>
      <c r="C21" s="1"/>
      <c r="D21" s="1"/>
      <c r="E21" s="9"/>
      <c r="F21" s="21"/>
    </row>
    <row r="22" spans="1:10" ht="15.75" thickBot="1">
      <c r="A22" s="10" t="s">
        <v>21</v>
      </c>
      <c r="B22" s="11"/>
      <c r="C22" s="11"/>
      <c r="D22" s="11"/>
      <c r="E22" s="12"/>
      <c r="F22" s="22"/>
    </row>
    <row r="24" spans="1:10" ht="15.75" thickBot="1">
      <c r="A24" s="2" t="s">
        <v>22</v>
      </c>
      <c r="B24" s="2"/>
      <c r="C24" s="2"/>
      <c r="D24" s="2"/>
      <c r="E24" s="2"/>
      <c r="F24" s="2"/>
    </row>
    <row r="25" spans="1:10" ht="15.75" thickBot="1">
      <c r="A25" s="24" t="s">
        <v>23</v>
      </c>
      <c r="B25" s="25"/>
      <c r="C25" s="25"/>
      <c r="D25" s="26"/>
      <c r="E25" s="24" t="s">
        <v>30</v>
      </c>
      <c r="F25" s="25"/>
      <c r="G25" s="26"/>
    </row>
    <row r="26" spans="1:10">
      <c r="A26" s="6" t="s">
        <v>24</v>
      </c>
      <c r="B26" s="7"/>
      <c r="C26" s="8"/>
      <c r="D26" s="20"/>
      <c r="E26" s="6" t="s">
        <v>31</v>
      </c>
      <c r="F26" s="7"/>
      <c r="G26" s="8"/>
    </row>
    <row r="27" spans="1:10">
      <c r="A27" s="3" t="s">
        <v>25</v>
      </c>
      <c r="B27" s="1"/>
      <c r="C27" s="9"/>
      <c r="D27" s="21"/>
      <c r="E27" s="3" t="s">
        <v>32</v>
      </c>
      <c r="F27" s="1"/>
      <c r="G27" s="9"/>
    </row>
    <row r="28" spans="1:10">
      <c r="A28" s="3" t="s">
        <v>26</v>
      </c>
      <c r="B28" s="1"/>
      <c r="C28" s="9"/>
      <c r="D28" s="21"/>
      <c r="E28" s="3" t="s">
        <v>33</v>
      </c>
      <c r="F28" s="1"/>
      <c r="G28" s="9"/>
    </row>
    <row r="29" spans="1:10">
      <c r="A29" s="3" t="s">
        <v>27</v>
      </c>
      <c r="B29" s="1"/>
      <c r="C29" s="9"/>
      <c r="D29" s="21"/>
      <c r="E29" s="3" t="s">
        <v>30</v>
      </c>
      <c r="F29" s="1"/>
      <c r="G29" s="9"/>
    </row>
    <row r="30" spans="1:10" ht="15.75" thickBot="1">
      <c r="A30" s="3" t="s">
        <v>28</v>
      </c>
      <c r="B30" s="1"/>
      <c r="C30" s="9"/>
      <c r="D30" s="21"/>
      <c r="E30" s="10" t="s">
        <v>34</v>
      </c>
      <c r="F30" s="11"/>
      <c r="G30" s="12"/>
    </row>
    <row r="31" spans="1:10" ht="15.75" thickBot="1">
      <c r="A31" s="10" t="s">
        <v>29</v>
      </c>
      <c r="B31" s="11"/>
      <c r="C31" s="12"/>
      <c r="D31" s="22"/>
    </row>
    <row r="32" spans="1:10" ht="15.75" thickBot="1">
      <c r="E32" s="4" t="s">
        <v>35</v>
      </c>
      <c r="F32" s="23"/>
      <c r="G32" s="23"/>
      <c r="H32" s="23"/>
      <c r="I32" s="23"/>
      <c r="J32" s="5"/>
    </row>
    <row r="33" spans="1:10" ht="15.75" thickBot="1">
      <c r="E33" s="4" t="s">
        <v>36</v>
      </c>
      <c r="F33" s="23"/>
      <c r="G33" s="23"/>
      <c r="H33" s="23"/>
      <c r="I33" s="5"/>
      <c r="J33" s="19"/>
    </row>
    <row r="35" spans="1:10" ht="15.75" thickBot="1">
      <c r="A35" s="2" t="s">
        <v>37</v>
      </c>
      <c r="B35" s="2"/>
      <c r="C35" s="2"/>
      <c r="D35" s="2"/>
      <c r="E35" s="2"/>
    </row>
    <row r="36" spans="1:10">
      <c r="A36" s="6" t="s">
        <v>38</v>
      </c>
      <c r="B36" s="7"/>
      <c r="C36" s="7"/>
      <c r="D36" s="7"/>
      <c r="E36" s="7"/>
      <c r="F36" s="8"/>
      <c r="G36" s="20"/>
    </row>
    <row r="37" spans="1:10">
      <c r="A37" s="3" t="s">
        <v>39</v>
      </c>
      <c r="B37" s="1"/>
      <c r="C37" s="1"/>
      <c r="D37" s="1"/>
      <c r="E37" s="1"/>
      <c r="F37" s="9"/>
      <c r="G37" s="21"/>
    </row>
    <row r="38" spans="1:10">
      <c r="A38" s="3" t="s">
        <v>40</v>
      </c>
      <c r="B38" s="1"/>
      <c r="C38" s="1"/>
      <c r="D38" s="1"/>
      <c r="E38" s="1"/>
      <c r="F38" s="9"/>
      <c r="G38" s="21"/>
    </row>
    <row r="39" spans="1:10">
      <c r="A39" s="3" t="s">
        <v>41</v>
      </c>
      <c r="B39" s="1"/>
      <c r="C39" s="1"/>
      <c r="D39" s="1"/>
      <c r="E39" s="1"/>
      <c r="F39" s="9"/>
      <c r="G39" s="21"/>
    </row>
    <row r="40" spans="1:10">
      <c r="A40" s="3" t="s">
        <v>42</v>
      </c>
      <c r="B40" s="1"/>
      <c r="C40" s="1"/>
      <c r="D40" s="1"/>
      <c r="E40" s="1"/>
      <c r="F40" s="9"/>
      <c r="G40" s="21"/>
    </row>
    <row r="41" spans="1:10">
      <c r="A41" s="3" t="s">
        <v>43</v>
      </c>
      <c r="B41" s="1"/>
      <c r="C41" s="1"/>
      <c r="D41" s="1"/>
      <c r="E41" s="1"/>
      <c r="F41" s="9"/>
      <c r="G41" s="21"/>
    </row>
    <row r="42" spans="1:10">
      <c r="A42" s="3" t="s">
        <v>44</v>
      </c>
      <c r="B42" s="1"/>
      <c r="C42" s="1"/>
      <c r="D42" s="1"/>
      <c r="E42" s="1"/>
      <c r="F42" s="9"/>
      <c r="G42" s="21"/>
    </row>
    <row r="43" spans="1:10">
      <c r="A43" s="3" t="s">
        <v>45</v>
      </c>
      <c r="B43" s="1"/>
      <c r="C43" s="1"/>
      <c r="D43" s="1"/>
      <c r="E43" s="1"/>
      <c r="F43" s="9"/>
      <c r="G43" s="21"/>
    </row>
    <row r="44" spans="1:10" ht="15.75" thickBot="1">
      <c r="A44" s="10" t="s">
        <v>46</v>
      </c>
      <c r="B44" s="11"/>
      <c r="C44" s="11"/>
      <c r="D44" s="11"/>
      <c r="E44" s="11"/>
      <c r="F44" s="12"/>
      <c r="G44" s="22"/>
    </row>
    <row r="45" spans="1:10">
      <c r="A45" s="27" t="s">
        <v>47</v>
      </c>
      <c r="B45" s="7"/>
      <c r="C45" s="7"/>
      <c r="D45" s="7"/>
      <c r="E45" s="7"/>
      <c r="F45" s="8"/>
      <c r="G45" s="30"/>
    </row>
    <row r="46" spans="1:10">
      <c r="A46" s="28" t="s">
        <v>48</v>
      </c>
      <c r="B46" s="1"/>
      <c r="C46" s="1"/>
      <c r="D46" s="1"/>
      <c r="E46" s="1"/>
      <c r="F46" s="9"/>
      <c r="G46" s="21"/>
    </row>
    <row r="47" spans="1:10">
      <c r="A47" s="28" t="s">
        <v>49</v>
      </c>
      <c r="B47" s="1"/>
      <c r="C47" s="1"/>
      <c r="D47" s="1"/>
      <c r="E47" s="1"/>
      <c r="F47" s="9"/>
      <c r="G47" s="21"/>
    </row>
    <row r="48" spans="1:10" ht="15.75" thickBot="1">
      <c r="A48" s="29" t="s">
        <v>21</v>
      </c>
      <c r="B48" s="11"/>
      <c r="C48" s="11"/>
      <c r="D48" s="11"/>
      <c r="E48" s="11"/>
      <c r="F48" s="12"/>
      <c r="G48" s="22"/>
    </row>
    <row r="50" spans="1:4" ht="15.75" thickBot="1">
      <c r="A50" s="2" t="s">
        <v>50</v>
      </c>
      <c r="B50" s="2"/>
      <c r="C50" s="2"/>
    </row>
    <row r="51" spans="1:4">
      <c r="A51" s="6" t="s">
        <v>51</v>
      </c>
      <c r="B51" s="7"/>
      <c r="C51" s="7"/>
      <c r="D51" s="20"/>
    </row>
    <row r="52" spans="1:4">
      <c r="A52" s="3" t="s">
        <v>52</v>
      </c>
      <c r="B52" s="1"/>
      <c r="C52" s="1"/>
      <c r="D52" s="21"/>
    </row>
    <row r="53" spans="1:4" ht="15.75" thickBot="1">
      <c r="A53" s="10" t="s">
        <v>53</v>
      </c>
      <c r="B53" s="11"/>
      <c r="C53" s="11"/>
      <c r="D53" s="21"/>
    </row>
    <row r="54" spans="1:4" ht="15.75" thickBot="1">
      <c r="D54" s="21"/>
    </row>
    <row r="55" spans="1:4">
      <c r="A55" s="6" t="s">
        <v>54</v>
      </c>
      <c r="B55" s="7"/>
      <c r="C55" s="7"/>
      <c r="D55" s="21"/>
    </row>
    <row r="56" spans="1:4">
      <c r="A56" s="3" t="s">
        <v>55</v>
      </c>
      <c r="B56" s="1"/>
      <c r="C56" s="1"/>
      <c r="D56" s="21"/>
    </row>
    <row r="57" spans="1:4">
      <c r="A57" s="3" t="s">
        <v>56</v>
      </c>
      <c r="B57" s="1"/>
      <c r="C57" s="1"/>
      <c r="D57" s="21"/>
    </row>
    <row r="58" spans="1:4">
      <c r="A58" s="3" t="s">
        <v>57</v>
      </c>
      <c r="B58" s="1"/>
      <c r="C58" s="1"/>
      <c r="D58" s="21"/>
    </row>
    <row r="59" spans="1:4">
      <c r="A59" s="3" t="s">
        <v>58</v>
      </c>
      <c r="B59" s="1"/>
      <c r="C59" s="1"/>
      <c r="D59" s="21"/>
    </row>
    <row r="60" spans="1:4" ht="15.75" thickBot="1">
      <c r="A60" s="10" t="s">
        <v>59</v>
      </c>
      <c r="B60" s="11"/>
      <c r="C60" s="11"/>
      <c r="D60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1"/>
  <sheetViews>
    <sheetView tabSelected="1" workbookViewId="0">
      <selection activeCell="G31" sqref="G31"/>
    </sheetView>
  </sheetViews>
  <sheetFormatPr baseColWidth="10" defaultRowHeight="15"/>
  <cols>
    <col min="13" max="13" width="14.5703125" customWidth="1"/>
    <col min="14" max="14" width="14.28515625" customWidth="1"/>
    <col min="15" max="15" width="13.42578125" customWidth="1"/>
    <col min="16" max="16" width="30" customWidth="1"/>
  </cols>
  <sheetData>
    <row r="1" spans="1:18" ht="15.75" thickBot="1">
      <c r="A1" s="79" t="s">
        <v>0</v>
      </c>
      <c r="B1" s="80"/>
      <c r="C1" s="80"/>
      <c r="D1" s="80"/>
      <c r="E1" s="80"/>
      <c r="F1" s="80"/>
      <c r="G1" s="81"/>
    </row>
    <row r="2" spans="1:18" ht="15.75" thickBot="1">
      <c r="F2" s="35" t="s">
        <v>15</v>
      </c>
      <c r="G2" s="35" t="s">
        <v>16</v>
      </c>
      <c r="K2" s="109" t="s">
        <v>60</v>
      </c>
      <c r="L2" s="110"/>
      <c r="M2" s="110"/>
      <c r="N2" s="110"/>
      <c r="O2" s="111"/>
      <c r="R2" s="39"/>
    </row>
    <row r="3" spans="1:18" ht="15.75" thickBot="1">
      <c r="A3" s="112" t="s">
        <v>1</v>
      </c>
      <c r="B3" s="113"/>
      <c r="C3" s="113"/>
      <c r="D3" s="113"/>
      <c r="E3" s="114"/>
      <c r="F3" s="58">
        <v>3217500</v>
      </c>
      <c r="G3" s="36"/>
      <c r="K3" s="31" t="s">
        <v>61</v>
      </c>
      <c r="L3" s="32"/>
      <c r="M3" s="32"/>
      <c r="N3" s="33"/>
      <c r="O3" s="4"/>
      <c r="P3" s="53" t="s">
        <v>73</v>
      </c>
      <c r="Q3" s="54">
        <v>60</v>
      </c>
      <c r="R3" s="39"/>
    </row>
    <row r="4" spans="1:18">
      <c r="A4" s="91" t="s">
        <v>2</v>
      </c>
      <c r="B4" s="92"/>
      <c r="C4" s="92"/>
      <c r="D4" s="92"/>
      <c r="E4" s="93"/>
      <c r="F4" s="21">
        <f>O4-O10</f>
        <v>1085950</v>
      </c>
      <c r="G4" s="37">
        <f>F4/$F$3</f>
        <v>0.3375135975135975</v>
      </c>
      <c r="K4" s="91" t="s">
        <v>62</v>
      </c>
      <c r="L4" s="92"/>
      <c r="M4" s="92"/>
      <c r="N4" s="93"/>
      <c r="O4" s="6">
        <v>1114580</v>
      </c>
      <c r="P4" s="55" t="s">
        <v>74</v>
      </c>
      <c r="Q4" s="14">
        <v>90</v>
      </c>
      <c r="R4" s="39"/>
    </row>
    <row r="5" spans="1:18" ht="15.75" thickBot="1">
      <c r="A5" s="91" t="s">
        <v>3</v>
      </c>
      <c r="B5" s="92"/>
      <c r="C5" s="92"/>
      <c r="D5" s="92"/>
      <c r="E5" s="93"/>
      <c r="F5" s="21">
        <f>ABS(O13-O11)</f>
        <v>23600</v>
      </c>
      <c r="G5" s="37">
        <f t="shared" ref="G5:G13" si="0">F5/$F$3</f>
        <v>7.3348873348873349E-3</v>
      </c>
      <c r="K5" s="91" t="s">
        <v>66</v>
      </c>
      <c r="L5" s="92"/>
      <c r="M5" s="92"/>
      <c r="N5" s="93"/>
      <c r="O5" s="3">
        <v>126700</v>
      </c>
      <c r="P5" s="56" t="s">
        <v>75</v>
      </c>
      <c r="Q5" s="57">
        <v>0.19600000000000001</v>
      </c>
      <c r="R5" s="39"/>
    </row>
    <row r="6" spans="1:18">
      <c r="A6" s="91" t="s">
        <v>4</v>
      </c>
      <c r="B6" s="92"/>
      <c r="C6" s="92"/>
      <c r="D6" s="92"/>
      <c r="E6" s="93"/>
      <c r="F6" s="21">
        <f>O5</f>
        <v>126700</v>
      </c>
      <c r="G6" s="37">
        <f t="shared" si="0"/>
        <v>3.9378399378399376E-2</v>
      </c>
      <c r="K6" s="91" t="s">
        <v>63</v>
      </c>
      <c r="L6" s="92"/>
      <c r="M6" s="92"/>
      <c r="N6" s="93"/>
      <c r="O6" s="21">
        <v>222225</v>
      </c>
      <c r="R6" s="39"/>
    </row>
    <row r="7" spans="1:18">
      <c r="A7" s="94" t="s">
        <v>6</v>
      </c>
      <c r="B7" s="95"/>
      <c r="C7" s="95"/>
      <c r="D7" s="95"/>
      <c r="E7" s="96"/>
      <c r="F7" s="44">
        <f>SUM(F4:F6)</f>
        <v>1236250</v>
      </c>
      <c r="G7" s="45">
        <f t="shared" si="0"/>
        <v>0.38422688422688422</v>
      </c>
      <c r="K7" s="91" t="s">
        <v>64</v>
      </c>
      <c r="L7" s="92"/>
      <c r="M7" s="92"/>
      <c r="N7" s="93"/>
      <c r="O7" s="21">
        <v>625000</v>
      </c>
      <c r="R7" s="39"/>
    </row>
    <row r="8" spans="1:18">
      <c r="A8" s="91" t="s">
        <v>5</v>
      </c>
      <c r="B8" s="92"/>
      <c r="C8" s="92"/>
      <c r="D8" s="92"/>
      <c r="E8" s="93"/>
      <c r="F8" s="21">
        <f>O8</f>
        <v>955300</v>
      </c>
      <c r="G8" s="37">
        <f t="shared" si="0"/>
        <v>0.29690753690753691</v>
      </c>
      <c r="K8" s="91" t="s">
        <v>65</v>
      </c>
      <c r="L8" s="92"/>
      <c r="M8" s="92"/>
      <c r="N8" s="93"/>
      <c r="O8" s="21">
        <v>955300</v>
      </c>
      <c r="R8" s="39"/>
    </row>
    <row r="9" spans="1:18">
      <c r="A9" s="94" t="s">
        <v>7</v>
      </c>
      <c r="B9" s="95"/>
      <c r="C9" s="95"/>
      <c r="D9" s="95"/>
      <c r="E9" s="96"/>
      <c r="F9" s="44">
        <f>F8</f>
        <v>955300</v>
      </c>
      <c r="G9" s="45">
        <f t="shared" si="0"/>
        <v>0.29690753690753691</v>
      </c>
      <c r="K9" s="91" t="s">
        <v>67</v>
      </c>
      <c r="L9" s="92"/>
      <c r="M9" s="92"/>
      <c r="N9" s="93"/>
      <c r="O9" s="21">
        <v>3217500</v>
      </c>
      <c r="R9" s="39"/>
    </row>
    <row r="10" spans="1:18">
      <c r="A10" s="91" t="s">
        <v>8</v>
      </c>
      <c r="B10" s="92"/>
      <c r="C10" s="92"/>
      <c r="D10" s="92"/>
      <c r="E10" s="93"/>
      <c r="F10" s="21">
        <f>ABS(O12-O14)</f>
        <v>17225</v>
      </c>
      <c r="G10" s="37">
        <f t="shared" si="0"/>
        <v>5.3535353535353533E-3</v>
      </c>
      <c r="K10" s="91" t="s">
        <v>68</v>
      </c>
      <c r="L10" s="92"/>
      <c r="M10" s="92"/>
      <c r="N10" s="93"/>
      <c r="O10" s="21">
        <v>28630</v>
      </c>
    </row>
    <row r="11" spans="1:18">
      <c r="A11" s="91" t="s">
        <v>9</v>
      </c>
      <c r="B11" s="92"/>
      <c r="C11" s="92"/>
      <c r="D11" s="92"/>
      <c r="E11" s="93"/>
      <c r="F11" s="21">
        <f>O6</f>
        <v>222225</v>
      </c>
      <c r="G11" s="37">
        <f t="shared" si="0"/>
        <v>6.9067599067599073E-2</v>
      </c>
      <c r="K11" s="91" t="s">
        <v>69</v>
      </c>
      <c r="L11" s="92"/>
      <c r="M11" s="92"/>
      <c r="N11" s="93"/>
      <c r="O11" s="21">
        <v>350700</v>
      </c>
    </row>
    <row r="12" spans="1:18">
      <c r="A12" s="94" t="s">
        <v>10</v>
      </c>
      <c r="B12" s="95"/>
      <c r="C12" s="95"/>
      <c r="D12" s="95"/>
      <c r="E12" s="96"/>
      <c r="F12" s="44">
        <f>SUM(F10:F11)</f>
        <v>239450</v>
      </c>
      <c r="G12" s="45">
        <f t="shared" si="0"/>
        <v>7.4421134421134419E-2</v>
      </c>
      <c r="K12" s="91" t="s">
        <v>70</v>
      </c>
      <c r="L12" s="92"/>
      <c r="M12" s="92"/>
      <c r="N12" s="93"/>
      <c r="O12" s="21">
        <v>198400</v>
      </c>
    </row>
    <row r="13" spans="1:18">
      <c r="A13" s="91" t="s">
        <v>11</v>
      </c>
      <c r="B13" s="92"/>
      <c r="C13" s="92"/>
      <c r="D13" s="92"/>
      <c r="E13" s="93"/>
      <c r="F13" s="21">
        <f>F3-(F7+F9+F12)</f>
        <v>786500</v>
      </c>
      <c r="G13" s="49">
        <f t="shared" si="0"/>
        <v>0.24444444444444444</v>
      </c>
      <c r="K13" s="91" t="s">
        <v>71</v>
      </c>
      <c r="L13" s="92"/>
      <c r="M13" s="92"/>
      <c r="N13" s="93"/>
      <c r="O13" s="21">
        <v>327100</v>
      </c>
    </row>
    <row r="14" spans="1:18" ht="15.75" thickBot="1">
      <c r="A14" s="91" t="s">
        <v>12</v>
      </c>
      <c r="B14" s="92"/>
      <c r="C14" s="92"/>
      <c r="D14" s="92"/>
      <c r="E14" s="93"/>
      <c r="F14" s="47">
        <f>F13/F3</f>
        <v>0.24444444444444444</v>
      </c>
      <c r="G14" s="9"/>
      <c r="K14" s="106" t="s">
        <v>72</v>
      </c>
      <c r="L14" s="107"/>
      <c r="M14" s="107"/>
      <c r="N14" s="108"/>
      <c r="O14" s="22">
        <v>215625</v>
      </c>
    </row>
    <row r="15" spans="1:18">
      <c r="A15" s="94" t="s">
        <v>13</v>
      </c>
      <c r="B15" s="95"/>
      <c r="C15" s="95"/>
      <c r="D15" s="95"/>
      <c r="E15" s="96"/>
      <c r="F15" s="44">
        <f>O7</f>
        <v>625000</v>
      </c>
      <c r="G15" s="45">
        <f>F15/$F$3</f>
        <v>0.19425019425019424</v>
      </c>
    </row>
    <row r="16" spans="1:18" ht="15.75" thickBot="1">
      <c r="A16" s="85" t="s">
        <v>14</v>
      </c>
      <c r="B16" s="86"/>
      <c r="C16" s="86"/>
      <c r="D16" s="86"/>
      <c r="E16" s="87"/>
      <c r="F16" s="40">
        <f>F3-(F7+F9+F12)-F15</f>
        <v>161500</v>
      </c>
      <c r="G16" s="48">
        <f>F16/$F$3</f>
        <v>5.0194250194250195E-2</v>
      </c>
    </row>
    <row r="17" spans="1:16" ht="15.75" thickBot="1">
      <c r="A17" s="79" t="s">
        <v>17</v>
      </c>
      <c r="B17" s="80"/>
      <c r="C17" s="80"/>
      <c r="D17" s="80"/>
      <c r="E17" s="80"/>
      <c r="F17" s="81"/>
      <c r="H17" s="79" t="s">
        <v>22</v>
      </c>
      <c r="I17" s="80"/>
      <c r="J17" s="80"/>
      <c r="K17" s="80"/>
      <c r="L17" s="80"/>
      <c r="M17" s="80"/>
      <c r="N17" s="81"/>
    </row>
    <row r="18" spans="1:16" ht="15.75" thickBot="1">
      <c r="A18" s="97" t="s">
        <v>18</v>
      </c>
      <c r="B18" s="98"/>
      <c r="C18" s="98"/>
      <c r="D18" s="98"/>
      <c r="E18" s="99"/>
      <c r="F18" s="41">
        <f>F15/(1-((F12+F9+F7)/F3))</f>
        <v>2556818.1818181816</v>
      </c>
      <c r="H18" s="103" t="s">
        <v>23</v>
      </c>
      <c r="I18" s="104"/>
      <c r="J18" s="104"/>
      <c r="K18" s="105"/>
      <c r="L18" s="103" t="s">
        <v>30</v>
      </c>
      <c r="M18" s="104"/>
      <c r="N18" s="105"/>
    </row>
    <row r="19" spans="1:16">
      <c r="A19" s="82" t="s">
        <v>19</v>
      </c>
      <c r="B19" s="83"/>
      <c r="C19" s="83"/>
      <c r="D19" s="83"/>
      <c r="E19" s="84"/>
      <c r="F19" s="50">
        <f>((F18/F3)*365)+DATE(2008,1,1)</f>
        <v>39738.050858232673</v>
      </c>
      <c r="H19" s="88" t="s">
        <v>24</v>
      </c>
      <c r="I19" s="89"/>
      <c r="J19" s="90"/>
      <c r="K19" s="20">
        <f>F5</f>
        <v>23600</v>
      </c>
      <c r="L19" s="88" t="s">
        <v>31</v>
      </c>
      <c r="M19" s="90"/>
      <c r="N19" s="20">
        <f>F16*(2/3)</f>
        <v>107666.66666666666</v>
      </c>
    </row>
    <row r="20" spans="1:16">
      <c r="A20" s="82" t="s">
        <v>20</v>
      </c>
      <c r="B20" s="83"/>
      <c r="C20" s="83"/>
      <c r="D20" s="83"/>
      <c r="E20" s="84"/>
      <c r="F20" s="42">
        <f>F3-F18</f>
        <v>660681.81818181835</v>
      </c>
      <c r="H20" s="91" t="s">
        <v>25</v>
      </c>
      <c r="I20" s="92"/>
      <c r="J20" s="93"/>
      <c r="K20" s="21">
        <f>F10</f>
        <v>17225</v>
      </c>
      <c r="L20" s="91" t="s">
        <v>32</v>
      </c>
      <c r="M20" s="93"/>
      <c r="N20" s="21">
        <v>100000</v>
      </c>
    </row>
    <row r="21" spans="1:16" ht="15.75" thickBot="1">
      <c r="A21" s="85" t="s">
        <v>21</v>
      </c>
      <c r="B21" s="86"/>
      <c r="C21" s="86"/>
      <c r="D21" s="86"/>
      <c r="E21" s="87"/>
      <c r="F21" s="52">
        <f>F18/F3</f>
        <v>0.79465988556897638</v>
      </c>
      <c r="H21" s="91" t="s">
        <v>26</v>
      </c>
      <c r="I21" s="92"/>
      <c r="J21" s="93"/>
      <c r="K21" s="21">
        <f>(Q3/360)*F3*(1+Q5)</f>
        <v>641355</v>
      </c>
      <c r="L21" s="91" t="s">
        <v>33</v>
      </c>
      <c r="M21" s="93"/>
      <c r="N21" s="21">
        <v>0</v>
      </c>
    </row>
    <row r="22" spans="1:16">
      <c r="H22" s="91" t="s">
        <v>27</v>
      </c>
      <c r="I22" s="92"/>
      <c r="J22" s="93"/>
      <c r="K22" s="21">
        <f>(Q4/360)*(1+Q5)*(F4)</f>
        <v>324699.05</v>
      </c>
      <c r="L22" s="91" t="s">
        <v>30</v>
      </c>
      <c r="M22" s="93"/>
      <c r="N22" s="21">
        <f>N19+N20-N21</f>
        <v>207666.66666666666</v>
      </c>
    </row>
    <row r="23" spans="1:16" ht="15.75" thickBot="1">
      <c r="H23" s="91" t="s">
        <v>28</v>
      </c>
      <c r="I23" s="92"/>
      <c r="J23" s="93"/>
      <c r="K23" s="21">
        <f>K19+K20+K21-K22</f>
        <v>357480.95</v>
      </c>
      <c r="L23" s="85" t="s">
        <v>34</v>
      </c>
      <c r="M23" s="87"/>
      <c r="N23" s="52">
        <f>N22/F3</f>
        <v>6.4542864542864536E-2</v>
      </c>
    </row>
    <row r="24" spans="1:16" ht="15.75" thickBot="1">
      <c r="H24" s="85" t="s">
        <v>29</v>
      </c>
      <c r="I24" s="86"/>
      <c r="J24" s="87"/>
      <c r="K24" s="52">
        <f>K23/F3</f>
        <v>0.11110519036519037</v>
      </c>
    </row>
    <row r="25" spans="1:16" ht="15.75" thickBot="1">
      <c r="H25" s="4" t="s">
        <v>35</v>
      </c>
      <c r="I25" s="23"/>
      <c r="J25" s="23"/>
      <c r="K25" s="23"/>
      <c r="L25" s="23"/>
      <c r="M25" s="5"/>
    </row>
    <row r="26" spans="1:16" ht="15.75" thickBot="1">
      <c r="H26" s="100" t="s">
        <v>36</v>
      </c>
      <c r="I26" s="101"/>
      <c r="J26" s="101"/>
      <c r="K26" s="101"/>
      <c r="L26" s="102"/>
      <c r="M26" s="59">
        <f>N23/(K24-N23)</f>
        <v>1.3861606653660188</v>
      </c>
    </row>
    <row r="27" spans="1:16" ht="15.75" thickBot="1"/>
    <row r="28" spans="1:16" ht="15.75" thickBot="1">
      <c r="A28" s="79" t="s">
        <v>37</v>
      </c>
      <c r="B28" s="80"/>
      <c r="C28" s="80"/>
      <c r="D28" s="80"/>
      <c r="E28" s="80"/>
      <c r="F28" s="80"/>
      <c r="G28" s="81"/>
      <c r="J28" s="79" t="s">
        <v>50</v>
      </c>
      <c r="K28" s="80"/>
      <c r="L28" s="80"/>
      <c r="M28" s="81"/>
    </row>
    <row r="29" spans="1:16">
      <c r="A29" s="88" t="s">
        <v>38</v>
      </c>
      <c r="B29" s="89"/>
      <c r="C29" s="89"/>
      <c r="D29" s="89"/>
      <c r="E29" s="89"/>
      <c r="F29" s="90"/>
      <c r="G29" s="60">
        <v>0.4</v>
      </c>
      <c r="J29" s="88" t="s">
        <v>51</v>
      </c>
      <c r="K29" s="89"/>
      <c r="L29" s="90"/>
      <c r="M29" s="20">
        <f>F16</f>
        <v>161500</v>
      </c>
      <c r="O29" t="s">
        <v>12</v>
      </c>
      <c r="P29" t="s">
        <v>76</v>
      </c>
    </row>
    <row r="30" spans="1:16">
      <c r="A30" s="94" t="s">
        <v>39</v>
      </c>
      <c r="B30" s="95"/>
      <c r="C30" s="95"/>
      <c r="D30" s="95"/>
      <c r="E30" s="95"/>
      <c r="F30" s="96"/>
      <c r="G30" s="64">
        <f>F3*(1+G29)</f>
        <v>4504500</v>
      </c>
      <c r="J30" s="91" t="s">
        <v>52</v>
      </c>
      <c r="K30" s="92"/>
      <c r="L30" s="93"/>
      <c r="M30" s="61">
        <f>G37</f>
        <v>379570</v>
      </c>
      <c r="O30" t="s">
        <v>77</v>
      </c>
      <c r="P30" t="s">
        <v>78</v>
      </c>
    </row>
    <row r="31" spans="1:16" ht="15.75" thickBot="1">
      <c r="A31" s="91" t="s">
        <v>40</v>
      </c>
      <c r="B31" s="92"/>
      <c r="C31" s="92"/>
      <c r="D31" s="92"/>
      <c r="E31" s="92"/>
      <c r="F31" s="93"/>
      <c r="G31" s="62">
        <f>F14+0.06</f>
        <v>0.30444444444444441</v>
      </c>
      <c r="J31" s="85" t="s">
        <v>53</v>
      </c>
      <c r="K31" s="86"/>
      <c r="L31" s="87"/>
      <c r="M31" s="66">
        <f>(ABS(M30-M29))/M29</f>
        <v>1.3502786377708977</v>
      </c>
      <c r="O31" t="s">
        <v>79</v>
      </c>
      <c r="P31" t="s">
        <v>80</v>
      </c>
    </row>
    <row r="32" spans="1:16" ht="15.75" thickBot="1">
      <c r="A32" s="94" t="s">
        <v>41</v>
      </c>
      <c r="B32" s="95"/>
      <c r="C32" s="95"/>
      <c r="D32" s="95"/>
      <c r="E32" s="95"/>
      <c r="F32" s="96"/>
      <c r="G32" s="44">
        <f>G30-(G31*G30)</f>
        <v>3133130</v>
      </c>
      <c r="J32" s="38"/>
      <c r="K32" s="39"/>
      <c r="L32" s="39"/>
      <c r="M32" s="21"/>
    </row>
    <row r="33" spans="1:14">
      <c r="A33" s="91" t="s">
        <v>42</v>
      </c>
      <c r="B33" s="92"/>
      <c r="C33" s="92"/>
      <c r="D33" s="92"/>
      <c r="E33" s="92"/>
      <c r="F33" s="93"/>
      <c r="G33" s="21">
        <f>275000</f>
        <v>275000</v>
      </c>
      <c r="J33" s="88" t="s">
        <v>54</v>
      </c>
      <c r="K33" s="89"/>
      <c r="L33" s="90"/>
      <c r="M33" s="46">
        <v>0.2</v>
      </c>
    </row>
    <row r="34" spans="1:14">
      <c r="A34" s="91" t="s">
        <v>43</v>
      </c>
      <c r="B34" s="92"/>
      <c r="C34" s="92"/>
      <c r="D34" s="92"/>
      <c r="E34" s="92"/>
      <c r="F34" s="93"/>
      <c r="G34" s="21">
        <f>155000</f>
        <v>155000</v>
      </c>
      <c r="J34" s="91" t="s">
        <v>55</v>
      </c>
      <c r="K34" s="92"/>
      <c r="L34" s="93"/>
      <c r="M34" s="21">
        <f>M29*(1+M33)</f>
        <v>193800</v>
      </c>
    </row>
    <row r="35" spans="1:14">
      <c r="A35" s="91" t="s">
        <v>44</v>
      </c>
      <c r="B35" s="92"/>
      <c r="C35" s="92"/>
      <c r="D35" s="92"/>
      <c r="E35" s="92"/>
      <c r="F35" s="93"/>
      <c r="G35" s="21">
        <f>(1530000*6)/100</f>
        <v>91800</v>
      </c>
      <c r="J35" s="91" t="s">
        <v>56</v>
      </c>
      <c r="K35" s="92"/>
      <c r="L35" s="93"/>
      <c r="M35" s="21">
        <v>10</v>
      </c>
    </row>
    <row r="36" spans="1:14" ht="15.75" thickBot="1">
      <c r="A36" s="94" t="s">
        <v>45</v>
      </c>
      <c r="B36" s="95"/>
      <c r="C36" s="95"/>
      <c r="D36" s="95"/>
      <c r="E36" s="95"/>
      <c r="F36" s="96"/>
      <c r="G36" s="44">
        <f>O7+G33+G35</f>
        <v>991800</v>
      </c>
      <c r="J36" s="72" t="s">
        <v>57</v>
      </c>
      <c r="K36" s="73"/>
      <c r="L36" s="74"/>
      <c r="M36" s="67">
        <f>F14+0.1</f>
        <v>0.34444444444444444</v>
      </c>
    </row>
    <row r="37" spans="1:14" ht="15.75" thickBot="1">
      <c r="A37" s="85" t="s">
        <v>46</v>
      </c>
      <c r="B37" s="86"/>
      <c r="C37" s="86"/>
      <c r="D37" s="86"/>
      <c r="E37" s="86"/>
      <c r="F37" s="87"/>
      <c r="G37" s="63">
        <f>G30-G32-G36</f>
        <v>379570</v>
      </c>
      <c r="J37" s="75" t="s">
        <v>58</v>
      </c>
      <c r="K37" s="76"/>
      <c r="L37" s="76"/>
      <c r="M37" s="68">
        <f>M34+G36+G32</f>
        <v>4318730</v>
      </c>
      <c r="N37" s="69"/>
    </row>
    <row r="38" spans="1:14" ht="15.75" thickBot="1">
      <c r="A38" s="97" t="s">
        <v>47</v>
      </c>
      <c r="B38" s="98"/>
      <c r="C38" s="98"/>
      <c r="D38" s="98"/>
      <c r="E38" s="98"/>
      <c r="F38" s="99"/>
      <c r="G38" s="43">
        <f>(G36*G30)/(G30-G32)</f>
        <v>3257737.2262773723</v>
      </c>
      <c r="J38" s="77" t="s">
        <v>59</v>
      </c>
      <c r="K38" s="78"/>
      <c r="L38" s="78"/>
      <c r="M38" s="70">
        <f>(M37/F3)-1</f>
        <v>0.34226262626262627</v>
      </c>
      <c r="N38" s="71"/>
    </row>
    <row r="39" spans="1:14">
      <c r="A39" s="82" t="s">
        <v>48</v>
      </c>
      <c r="B39" s="83"/>
      <c r="C39" s="83"/>
      <c r="D39" s="83"/>
      <c r="E39" s="83"/>
      <c r="F39" s="84"/>
      <c r="G39" s="50">
        <f>((G38/G30)*365)+DATE(2009,1,1)</f>
        <v>40077.974711419964</v>
      </c>
    </row>
    <row r="40" spans="1:14">
      <c r="A40" s="82" t="s">
        <v>49</v>
      </c>
      <c r="B40" s="83"/>
      <c r="C40" s="83"/>
      <c r="D40" s="83"/>
      <c r="E40" s="83"/>
      <c r="F40" s="84"/>
      <c r="G40" s="65">
        <f>G30-G38</f>
        <v>1246762.7737226277</v>
      </c>
    </row>
    <row r="41" spans="1:14" ht="15.75" thickBot="1">
      <c r="A41" s="85" t="s">
        <v>21</v>
      </c>
      <c r="B41" s="86"/>
      <c r="C41" s="86"/>
      <c r="D41" s="86"/>
      <c r="E41" s="86"/>
      <c r="F41" s="87"/>
      <c r="G41" s="51">
        <f>G38/G30</f>
        <v>0.7232183874519641</v>
      </c>
    </row>
  </sheetData>
  <mergeCells count="71">
    <mergeCell ref="A1:G1"/>
    <mergeCell ref="K2:O2"/>
    <mergeCell ref="A3:E3"/>
    <mergeCell ref="A4:E4"/>
    <mergeCell ref="A5:E5"/>
    <mergeCell ref="K4:N4"/>
    <mergeCell ref="K5:N5"/>
    <mergeCell ref="A6:E6"/>
    <mergeCell ref="A7:E7"/>
    <mergeCell ref="A8:E8"/>
    <mergeCell ref="A9:E9"/>
    <mergeCell ref="A10:E10"/>
    <mergeCell ref="K11:N11"/>
    <mergeCell ref="A18:E18"/>
    <mergeCell ref="A19:E19"/>
    <mergeCell ref="A20:E20"/>
    <mergeCell ref="A21:E21"/>
    <mergeCell ref="H17:N17"/>
    <mergeCell ref="A12:E12"/>
    <mergeCell ref="A13:E13"/>
    <mergeCell ref="A14:E14"/>
    <mergeCell ref="A15:E15"/>
    <mergeCell ref="A16:E16"/>
    <mergeCell ref="A17:F17"/>
    <mergeCell ref="A11:E11"/>
    <mergeCell ref="K6:N6"/>
    <mergeCell ref="K7:N7"/>
    <mergeCell ref="K8:N8"/>
    <mergeCell ref="K9:N9"/>
    <mergeCell ref="K10:N10"/>
    <mergeCell ref="K12:N12"/>
    <mergeCell ref="K13:N13"/>
    <mergeCell ref="K14:N14"/>
    <mergeCell ref="H19:J19"/>
    <mergeCell ref="H20:J20"/>
    <mergeCell ref="H22:J22"/>
    <mergeCell ref="H23:J23"/>
    <mergeCell ref="H24:J24"/>
    <mergeCell ref="L18:N18"/>
    <mergeCell ref="H18:K18"/>
    <mergeCell ref="L19:M19"/>
    <mergeCell ref="L20:M20"/>
    <mergeCell ref="L21:M21"/>
    <mergeCell ref="L22:M22"/>
    <mergeCell ref="L23:M23"/>
    <mergeCell ref="H21:J21"/>
    <mergeCell ref="H26:L26"/>
    <mergeCell ref="A29:F29"/>
    <mergeCell ref="A30:F30"/>
    <mergeCell ref="A31:F31"/>
    <mergeCell ref="A32:F32"/>
    <mergeCell ref="A40:F40"/>
    <mergeCell ref="A41:F41"/>
    <mergeCell ref="J28:M28"/>
    <mergeCell ref="J29:L29"/>
    <mergeCell ref="J30:L30"/>
    <mergeCell ref="J31:L31"/>
    <mergeCell ref="J33:L33"/>
    <mergeCell ref="J34:L34"/>
    <mergeCell ref="J35:L35"/>
    <mergeCell ref="A33:F33"/>
    <mergeCell ref="A34:F34"/>
    <mergeCell ref="A35:F35"/>
    <mergeCell ref="A36:F36"/>
    <mergeCell ref="A37:F37"/>
    <mergeCell ref="A38:F38"/>
    <mergeCell ref="J36:L36"/>
    <mergeCell ref="J37:L37"/>
    <mergeCell ref="J38:L38"/>
    <mergeCell ref="A28:G28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STORM</vt:lpstr>
      <vt:lpstr>Feuil1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2009-06-01T16:16:42Z</dcterms:created>
  <dcterms:modified xsi:type="dcterms:W3CDTF">2009-06-08T20:43:06Z</dcterms:modified>
</cp:coreProperties>
</file>