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15" windowHeight="8505" tabRatio="665" firstSheet="3" activeTab="5"/>
  </bookViews>
  <sheets>
    <sheet name="1-1) Type amortissement" sheetId="4" r:id="rId1"/>
    <sheet name="1-2) Tableau linéaire" sheetId="1" r:id="rId2"/>
    <sheet name="1-3) Tableau Fiscal degressif" sheetId="6" r:id="rId3"/>
    <sheet name="1-annexe)Tableau de coefficient" sheetId="7" r:id="rId4"/>
    <sheet name="2) Client douteux" sheetId="8" r:id="rId5"/>
    <sheet name="3)Stocks" sheetId="9" r:id="rId6"/>
    <sheet name="Feuil1" sheetId="10" r:id="rId7"/>
  </sheets>
  <calcPr calcId="125725"/>
</workbook>
</file>

<file path=xl/calcChain.xml><?xml version="1.0" encoding="utf-8"?>
<calcChain xmlns="http://schemas.openxmlformats.org/spreadsheetml/2006/main">
  <c r="O24" i="9"/>
  <c r="N23"/>
  <c r="O22"/>
  <c r="N21"/>
  <c r="O18"/>
  <c r="N17"/>
  <c r="O16"/>
  <c r="N15"/>
  <c r="O12"/>
  <c r="N11"/>
  <c r="O10"/>
  <c r="N9"/>
  <c r="C6" l="1"/>
  <c r="H24" l="1"/>
  <c r="G21"/>
  <c r="G23" i="8"/>
  <c r="F22"/>
  <c r="G3"/>
  <c r="C13" i="6"/>
  <c r="C17"/>
  <c r="F5" i="1"/>
  <c r="G5" l="1"/>
  <c r="F9"/>
  <c r="G9" s="1"/>
  <c r="F10"/>
  <c r="G10" s="1"/>
  <c r="F11"/>
  <c r="C13"/>
  <c r="D6" i="9"/>
  <c r="G12" i="8"/>
  <c r="J24" i="9"/>
  <c r="G11" i="1" l="1"/>
  <c r="Q15" i="8"/>
  <c r="P14"/>
  <c r="G14"/>
  <c r="J15"/>
  <c r="H15"/>
  <c r="I14"/>
  <c r="J13"/>
  <c r="H13"/>
  <c r="I12"/>
  <c r="Q13"/>
  <c r="P5" i="6"/>
  <c r="P6" s="1"/>
  <c r="P7" s="1"/>
  <c r="P8" s="1"/>
  <c r="P9" s="1"/>
  <c r="P10" s="1"/>
  <c r="P11" s="1"/>
  <c r="P12" s="1"/>
  <c r="P13" s="1"/>
  <c r="K17"/>
  <c r="N17" s="1"/>
  <c r="K16"/>
  <c r="N16" s="1"/>
  <c r="L5"/>
  <c r="K5"/>
  <c r="C18"/>
  <c r="M5" s="1"/>
  <c r="F22"/>
  <c r="D22"/>
  <c r="E17"/>
  <c r="H17" s="1"/>
  <c r="E16"/>
  <c r="I16" s="1"/>
  <c r="C14"/>
  <c r="C15" s="1"/>
  <c r="E5"/>
  <c r="F22" i="1"/>
  <c r="D22"/>
  <c r="E11" i="6" l="1"/>
  <c r="F11" s="1"/>
  <c r="K6"/>
  <c r="E10"/>
  <c r="O16"/>
  <c r="P12" i="8"/>
  <c r="L16" i="6"/>
  <c r="M17" s="1"/>
  <c r="K15"/>
  <c r="L17"/>
  <c r="G16"/>
  <c r="P14"/>
  <c r="P15" s="1"/>
  <c r="P16" s="1"/>
  <c r="P17" s="1"/>
  <c r="E14"/>
  <c r="F14" s="1"/>
  <c r="K8"/>
  <c r="K10"/>
  <c r="K12"/>
  <c r="K14"/>
  <c r="E15"/>
  <c r="K7"/>
  <c r="K9"/>
  <c r="K11"/>
  <c r="K13"/>
  <c r="O17"/>
  <c r="G5"/>
  <c r="H5" s="1"/>
  <c r="F5"/>
  <c r="E6"/>
  <c r="E8"/>
  <c r="E12"/>
  <c r="E13"/>
  <c r="F16"/>
  <c r="H16"/>
  <c r="G17"/>
  <c r="I17"/>
  <c r="E7"/>
  <c r="E9"/>
  <c r="F15"/>
  <c r="F17"/>
  <c r="I5" l="1"/>
  <c r="G15"/>
  <c r="G14"/>
  <c r="Q17"/>
  <c r="N5"/>
  <c r="O5" s="1"/>
  <c r="L6" s="1"/>
  <c r="M6" s="1"/>
  <c r="O6" s="1"/>
  <c r="L7" s="1"/>
  <c r="Q5"/>
  <c r="F6"/>
  <c r="F7"/>
  <c r="G6"/>
  <c r="H6" s="1"/>
  <c r="F12"/>
  <c r="G11"/>
  <c r="F8"/>
  <c r="G7"/>
  <c r="F9"/>
  <c r="F13"/>
  <c r="G13"/>
  <c r="G12"/>
  <c r="Q6" l="1"/>
  <c r="N6"/>
  <c r="M7"/>
  <c r="Q7" s="1"/>
  <c r="I6"/>
  <c r="I7" s="1"/>
  <c r="H7"/>
  <c r="N7" l="1"/>
  <c r="O7"/>
  <c r="L8" s="1"/>
  <c r="M8" l="1"/>
  <c r="N8" l="1"/>
  <c r="O8"/>
  <c r="L9" l="1"/>
  <c r="M9" l="1"/>
  <c r="N9" l="1"/>
  <c r="O9"/>
  <c r="L10" s="1"/>
  <c r="M10" l="1"/>
  <c r="O10" l="1"/>
  <c r="L11" s="1"/>
  <c r="N10"/>
  <c r="M11" l="1"/>
  <c r="Q11" s="1"/>
  <c r="N11" l="1"/>
  <c r="O11"/>
  <c r="L12" s="1"/>
  <c r="M12" s="1"/>
  <c r="Q12" s="1"/>
  <c r="F13" i="1"/>
  <c r="C14"/>
  <c r="M13" i="6" l="1"/>
  <c r="Q13" s="1"/>
  <c r="O12"/>
  <c r="N12"/>
  <c r="F14" i="1"/>
  <c r="G14" s="1"/>
  <c r="F16"/>
  <c r="F15"/>
  <c r="G15" s="1"/>
  <c r="F17"/>
  <c r="G13"/>
  <c r="F8"/>
  <c r="G8" s="1"/>
  <c r="F12"/>
  <c r="F7"/>
  <c r="G7" s="1"/>
  <c r="F6"/>
  <c r="G6" s="1"/>
  <c r="C15"/>
  <c r="H15" l="1"/>
  <c r="H11"/>
  <c r="H10"/>
  <c r="H5"/>
  <c r="I5" s="1"/>
  <c r="H12"/>
  <c r="L13" i="6"/>
  <c r="M14" s="1"/>
  <c r="Q14" s="1"/>
  <c r="G16" i="1"/>
  <c r="G17"/>
  <c r="H16"/>
  <c r="H17"/>
  <c r="H14"/>
  <c r="J5"/>
  <c r="H9"/>
  <c r="H6"/>
  <c r="G12"/>
  <c r="H13"/>
  <c r="H8"/>
  <c r="H7"/>
  <c r="I22" l="1"/>
  <c r="I6"/>
  <c r="I7" s="1"/>
  <c r="I8" s="1"/>
  <c r="I9" s="1"/>
  <c r="O13" i="6"/>
  <c r="L14" s="1"/>
  <c r="M15" s="1"/>
  <c r="Q15" s="1"/>
  <c r="N13"/>
  <c r="J6" i="1"/>
  <c r="J7" s="1"/>
  <c r="J8" s="1"/>
  <c r="J9" s="1"/>
  <c r="H21"/>
  <c r="J10" l="1"/>
  <c r="J11" s="1"/>
  <c r="J12" s="1"/>
  <c r="J13" s="1"/>
  <c r="J14" s="1"/>
  <c r="J15" s="1"/>
  <c r="J16" s="1"/>
  <c r="J17" s="1"/>
  <c r="I10"/>
  <c r="I11" s="1"/>
  <c r="I12" s="1"/>
  <c r="I13" s="1"/>
  <c r="I14" s="1"/>
  <c r="I15" s="1"/>
  <c r="I16" s="1"/>
  <c r="I17" s="1"/>
  <c r="O14" i="6"/>
  <c r="L15" s="1"/>
  <c r="M16" s="1"/>
  <c r="Q16" s="1"/>
  <c r="O15" l="1"/>
  <c r="N14"/>
  <c r="N15" s="1"/>
  <c r="F10" l="1"/>
  <c r="G9"/>
  <c r="Q9" s="1"/>
  <c r="G8"/>
  <c r="I8" s="1"/>
  <c r="G10"/>
  <c r="Q10" s="1"/>
  <c r="Q8" l="1"/>
  <c r="I22"/>
  <c r="H21"/>
  <c r="I9"/>
  <c r="I10" s="1"/>
  <c r="I11" s="1"/>
  <c r="I12" s="1"/>
  <c r="I13" s="1"/>
  <c r="I14" s="1"/>
  <c r="I15" s="1"/>
  <c r="H8"/>
  <c r="H9" s="1"/>
  <c r="H10" s="1"/>
  <c r="H11" s="1"/>
  <c r="H12" s="1"/>
  <c r="H13" s="1"/>
  <c r="H14" s="1"/>
  <c r="H15" s="1"/>
  <c r="I24" l="1"/>
  <c r="C23"/>
  <c r="E23" s="1"/>
  <c r="H23"/>
  <c r="D24"/>
  <c r="F24" s="1"/>
</calcChain>
</file>

<file path=xl/sharedStrings.xml><?xml version="1.0" encoding="utf-8"?>
<sst xmlns="http://schemas.openxmlformats.org/spreadsheetml/2006/main" count="108" uniqueCount="83">
  <si>
    <t>Frais d'etablissement</t>
  </si>
  <si>
    <t>Année</t>
  </si>
  <si>
    <t>Nb jour total</t>
  </si>
  <si>
    <t>Amortissement par an</t>
  </si>
  <si>
    <t>Amortissement premiere année</t>
  </si>
  <si>
    <t>ENTREZ LES DONNEES ICI</t>
  </si>
  <si>
    <t>RESULTAT INTERMEDIAIRES</t>
  </si>
  <si>
    <t>TABLEAU D'ARMOTISSEMENT</t>
  </si>
  <si>
    <t>Valeur à amortir</t>
  </si>
  <si>
    <t>Année voulue</t>
  </si>
  <si>
    <t>ECRITURES</t>
  </si>
  <si>
    <t>Dotations aux amortissements et aux provisions</t>
  </si>
  <si>
    <t>Annuité</t>
  </si>
  <si>
    <t>Base nette</t>
  </si>
  <si>
    <t>Cumul annuités</t>
  </si>
  <si>
    <t>Type d'armotissement</t>
  </si>
  <si>
    <t>Amortissements des immobilisations incorporelles</t>
  </si>
  <si>
    <t>Frais de recherche et développement</t>
  </si>
  <si>
    <t>Concessions et droits similaires,brevets,licences,logiciels,droits et valeurs similaires</t>
  </si>
  <si>
    <t>Fonds commercial</t>
  </si>
  <si>
    <t>Autres immobilisations incorporelles</t>
  </si>
  <si>
    <t>Amortissement des immobilisations corporelles</t>
  </si>
  <si>
    <t>Terrains de gisement</t>
  </si>
  <si>
    <t>Agencements, aménagements de terrains</t>
  </si>
  <si>
    <t>Construction</t>
  </si>
  <si>
    <t>Installations techniques, matériel et outillages industriels</t>
  </si>
  <si>
    <t>Construction sur sol d'autrui</t>
  </si>
  <si>
    <t>Autres immobilisations corporelles</t>
  </si>
  <si>
    <t>X</t>
  </si>
  <si>
    <t>Cochez le type d'amortissement avec une croix X</t>
  </si>
  <si>
    <t>RESULTATS INTERMEDIAIRES</t>
  </si>
  <si>
    <t>Numero jour (mis en service)</t>
  </si>
  <si>
    <t>Numero mois (mis en service)</t>
  </si>
  <si>
    <t>année (mis en service)</t>
  </si>
  <si>
    <t>Numero jour (acquis)</t>
  </si>
  <si>
    <t>Coefficient</t>
  </si>
  <si>
    <t>Numero mois (acquis)</t>
  </si>
  <si>
    <t>année (acquis)</t>
  </si>
  <si>
    <t>Taux linéaire</t>
  </si>
  <si>
    <t>Taux dégressif</t>
  </si>
  <si>
    <t>TABLEAU D'ARMOTISSEMENT LINEAIRE</t>
  </si>
  <si>
    <t>TABLEAU D'ARMOTISSEMENT DEGRESSIF</t>
  </si>
  <si>
    <t>Base</t>
  </si>
  <si>
    <t>Taux</t>
  </si>
  <si>
    <t>Derog</t>
  </si>
  <si>
    <t>Dotations aux amortissements et aux provisions - Charges d'exploitation</t>
  </si>
  <si>
    <t>Créance</t>
  </si>
  <si>
    <t>Cochez la bonne case</t>
  </si>
  <si>
    <t>Garde notre confiance</t>
  </si>
  <si>
    <t>Situation délicate, on augmente la depreciation</t>
  </si>
  <si>
    <t>En liquidation on recevra rien</t>
  </si>
  <si>
    <t>Dépréciation (%)</t>
  </si>
  <si>
    <t>Dépréciation Finale</t>
  </si>
  <si>
    <t>Nouveau client , on déprécie de X%</t>
  </si>
  <si>
    <t>Stock de matieres premieres</t>
  </si>
  <si>
    <t>Stock de produits finis</t>
  </si>
  <si>
    <t>Quantité dans balance</t>
  </si>
  <si>
    <t>Quantité après inventaire</t>
  </si>
  <si>
    <t>Stocks et approvisionnement</t>
  </si>
  <si>
    <t>Variation de stock de matieres premières</t>
  </si>
  <si>
    <t>Variation des stock de produits</t>
  </si>
  <si>
    <t>Stocks de produits</t>
  </si>
  <si>
    <t>Provisions pour dépréciation des matières premières et fourniture</t>
  </si>
  <si>
    <t>Reprises sur amortissements et provisions</t>
  </si>
  <si>
    <t>Dépréciation des matières premières</t>
  </si>
  <si>
    <t>Dépréciations des autres approvisionnements</t>
  </si>
  <si>
    <t>Dépréciation des en-cours de production de biens</t>
  </si>
  <si>
    <t>Dépréciation des en-cours de production de services</t>
  </si>
  <si>
    <t>Dépréciation des stocks de produits</t>
  </si>
  <si>
    <t>Dépréciation des stocks de marchandises</t>
  </si>
  <si>
    <t>5 ou 6 ans</t>
  </si>
  <si>
    <t>&gt;6 ans</t>
  </si>
  <si>
    <t>&lt;5 ans</t>
  </si>
  <si>
    <t>Complément</t>
  </si>
  <si>
    <t>Garde confiance, passer l'augmentation de dépréciation</t>
  </si>
  <si>
    <t>Pour les biens acquis entre le 4/12/08 et le 31/12/09</t>
  </si>
  <si>
    <t>coefficient majoré de 0,5</t>
  </si>
  <si>
    <t>PENSER A CHANGER DE COEFFICIENT!</t>
  </si>
  <si>
    <t>Au cas où, pour 2010, mettre 1.75</t>
  </si>
  <si>
    <t>Débit / Crédit</t>
  </si>
  <si>
    <t>Depréciation (euros ) /provision</t>
  </si>
  <si>
    <t>Attention, si complément mettre celui du bas</t>
  </si>
  <si>
    <t>x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</si>
</sst>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0">
    <xf numFmtId="0" fontId="0" fillId="0" borderId="0" xfId="0"/>
    <xf numFmtId="0" fontId="0" fillId="4" borderId="2" xfId="0" applyFill="1" applyBorder="1"/>
    <xf numFmtId="0" fontId="0" fillId="4" borderId="4" xfId="0" applyFill="1" applyBorder="1"/>
    <xf numFmtId="0" fontId="0" fillId="4" borderId="6" xfId="0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6" borderId="3" xfId="0" applyFont="1" applyFill="1" applyBorder="1"/>
    <xf numFmtId="0" fontId="1" fillId="6" borderId="5" xfId="0" applyFont="1" applyFill="1" applyBorder="1"/>
    <xf numFmtId="0" fontId="1" fillId="6" borderId="1" xfId="0" applyFont="1" applyFill="1" applyBorder="1"/>
    <xf numFmtId="0" fontId="0" fillId="7" borderId="2" xfId="0" applyFill="1" applyBorder="1"/>
    <xf numFmtId="0" fontId="0" fillId="7" borderId="4" xfId="0" applyFill="1" applyBorder="1"/>
    <xf numFmtId="2" fontId="0" fillId="7" borderId="6" xfId="0" applyNumberFormat="1" applyFill="1" applyBorder="1"/>
    <xf numFmtId="0" fontId="3" fillId="0" borderId="0" xfId="0" applyFont="1"/>
    <xf numFmtId="0" fontId="0" fillId="8" borderId="0" xfId="0" applyFill="1"/>
    <xf numFmtId="0" fontId="1" fillId="8" borderId="0" xfId="0" applyFont="1" applyFill="1" applyBorder="1"/>
    <xf numFmtId="0" fontId="0" fillId="8" borderId="0" xfId="0" applyFill="1" applyBorder="1"/>
    <xf numFmtId="0" fontId="3" fillId="8" borderId="0" xfId="0" applyFont="1" applyFill="1" applyBorder="1"/>
    <xf numFmtId="0" fontId="0" fillId="5" borderId="1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2" fontId="0" fillId="9" borderId="17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2" fontId="0" fillId="7" borderId="18" xfId="0" applyNumberFormat="1" applyFill="1" applyBorder="1" applyAlignment="1">
      <alignment horizontal="center"/>
    </xf>
    <xf numFmtId="2" fontId="0" fillId="9" borderId="18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2" fontId="0" fillId="7" borderId="19" xfId="0" applyNumberFormat="1" applyFill="1" applyBorder="1" applyAlignment="1">
      <alignment horizontal="center"/>
    </xf>
    <xf numFmtId="2" fontId="0" fillId="9" borderId="19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8" borderId="0" xfId="0" applyNumberFormat="1" applyFill="1" applyBorder="1"/>
    <xf numFmtId="0" fontId="0" fillId="5" borderId="1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0" fillId="7" borderId="16" xfId="0" applyNumberFormat="1" applyFill="1" applyBorder="1" applyAlignment="1">
      <alignment horizontal="center"/>
    </xf>
    <xf numFmtId="2" fontId="0" fillId="9" borderId="16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3" fillId="8" borderId="0" xfId="0" applyFont="1" applyFill="1"/>
    <xf numFmtId="0" fontId="4" fillId="8" borderId="0" xfId="0" applyFont="1" applyFill="1"/>
    <xf numFmtId="0" fontId="5" fillId="8" borderId="0" xfId="0" applyFont="1" applyFill="1"/>
    <xf numFmtId="0" fontId="2" fillId="8" borderId="24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5" fillId="8" borderId="0" xfId="0" applyFont="1" applyFill="1" applyAlignment="1"/>
    <xf numFmtId="0" fontId="0" fillId="8" borderId="9" xfId="0" applyFill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vertical="center" wrapText="1"/>
    </xf>
    <xf numFmtId="0" fontId="0" fillId="0" borderId="27" xfId="0" applyBorder="1"/>
    <xf numFmtId="0" fontId="0" fillId="8" borderId="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8" xfId="0" applyFill="1" applyBorder="1"/>
    <xf numFmtId="2" fontId="0" fillId="7" borderId="4" xfId="0" applyNumberFormat="1" applyFill="1" applyBorder="1"/>
    <xf numFmtId="14" fontId="0" fillId="8" borderId="0" xfId="0" applyNumberFormat="1" applyFill="1"/>
    <xf numFmtId="2" fontId="0" fillId="8" borderId="0" xfId="0" applyNumberFormat="1" applyFill="1"/>
    <xf numFmtId="10" fontId="0" fillId="7" borderId="6" xfId="0" applyNumberFormat="1" applyFill="1" applyBorder="1"/>
    <xf numFmtId="0" fontId="0" fillId="8" borderId="9" xfId="0" applyFill="1" applyBorder="1"/>
    <xf numFmtId="2" fontId="0" fillId="8" borderId="11" xfId="0" applyNumberFormat="1" applyFill="1" applyBorder="1"/>
    <xf numFmtId="0" fontId="0" fillId="8" borderId="13" xfId="0" applyFill="1" applyBorder="1" applyAlignment="1">
      <alignment horizontal="center" vertical="center"/>
    </xf>
    <xf numFmtId="0" fontId="0" fillId="8" borderId="7" xfId="0" applyFill="1" applyBorder="1" applyAlignment="1">
      <alignment vertical="center" wrapText="1"/>
    </xf>
    <xf numFmtId="2" fontId="0" fillId="8" borderId="8" xfId="0" applyNumberFormat="1" applyFill="1" applyBorder="1"/>
    <xf numFmtId="0" fontId="0" fillId="8" borderId="27" xfId="0" applyFill="1" applyBorder="1"/>
    <xf numFmtId="0" fontId="0" fillId="8" borderId="15" xfId="0" applyFill="1" applyBorder="1"/>
    <xf numFmtId="0" fontId="0" fillId="8" borderId="29" xfId="0" applyFill="1" applyBorder="1" applyAlignment="1">
      <alignment horizontal="left" vertical="center"/>
    </xf>
    <xf numFmtId="0" fontId="0" fillId="8" borderId="30" xfId="0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" fontId="1" fillId="11" borderId="21" xfId="0" applyNumberFormat="1" applyFont="1" applyFill="1" applyBorder="1" applyAlignment="1">
      <alignment horizontal="center" vertical="center"/>
    </xf>
    <xf numFmtId="1" fontId="1" fillId="11" borderId="22" xfId="0" applyNumberFormat="1" applyFont="1" applyFill="1" applyBorder="1" applyAlignment="1">
      <alignment horizontal="center" vertical="center"/>
    </xf>
    <xf numFmtId="1" fontId="1" fillId="11" borderId="23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0" xfId="0" applyFont="1" applyBorder="1"/>
    <xf numFmtId="0" fontId="7" fillId="10" borderId="20" xfId="0" applyFont="1" applyFill="1" applyBorder="1"/>
    <xf numFmtId="0" fontId="8" fillId="10" borderId="12" xfId="0" applyFont="1" applyFill="1" applyBorder="1"/>
    <xf numFmtId="0" fontId="8" fillId="10" borderId="9" xfId="0" applyFont="1" applyFill="1" applyBorder="1" applyAlignment="1">
      <alignment horizontal="center" vertical="center"/>
    </xf>
    <xf numFmtId="0" fontId="8" fillId="6" borderId="11" xfId="0" applyFont="1" applyFill="1" applyBorder="1"/>
    <xf numFmtId="0" fontId="8" fillId="6" borderId="31" xfId="0" applyFont="1" applyFill="1" applyBorder="1"/>
    <xf numFmtId="0" fontId="7" fillId="4" borderId="7" xfId="0" applyFont="1" applyFill="1" applyBorder="1"/>
    <xf numFmtId="0" fontId="7" fillId="4" borderId="10" xfId="0" applyFont="1" applyFill="1" applyBorder="1"/>
    <xf numFmtId="0" fontId="8" fillId="2" borderId="2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10" fontId="5" fillId="9" borderId="8" xfId="0" applyNumberFormat="1" applyFont="1" applyFill="1" applyBorder="1" applyAlignment="1">
      <alignment horizontal="center" vertical="center"/>
    </xf>
    <xf numFmtId="0" fontId="8" fillId="10" borderId="13" xfId="0" applyFont="1" applyFill="1" applyBorder="1"/>
    <xf numFmtId="0" fontId="8" fillId="6" borderId="29" xfId="0" applyFont="1" applyFill="1" applyBorder="1"/>
    <xf numFmtId="0" fontId="8" fillId="10" borderId="9" xfId="0" applyFont="1" applyFill="1" applyBorder="1"/>
    <xf numFmtId="0" fontId="8" fillId="10" borderId="20" xfId="0" applyFont="1" applyFill="1" applyBorder="1"/>
    <xf numFmtId="0" fontId="0" fillId="6" borderId="28" xfId="0" applyFill="1" applyBorder="1"/>
    <xf numFmtId="2" fontId="0" fillId="7" borderId="32" xfId="0" applyNumberFormat="1" applyFill="1" applyBorder="1" applyAlignment="1">
      <alignment horizontal="center"/>
    </xf>
    <xf numFmtId="2" fontId="0" fillId="9" borderId="32" xfId="0" applyNumberFormat="1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10" fontId="0" fillId="14" borderId="32" xfId="0" applyNumberFormat="1" applyFill="1" applyBorder="1"/>
    <xf numFmtId="2" fontId="0" fillId="3" borderId="32" xfId="0" applyNumberFormat="1" applyFill="1" applyBorder="1" applyAlignment="1">
      <alignment horizontal="center"/>
    </xf>
    <xf numFmtId="2" fontId="0" fillId="14" borderId="32" xfId="0" applyNumberFormat="1" applyFill="1" applyBorder="1"/>
    <xf numFmtId="2" fontId="0" fillId="15" borderId="34" xfId="0" applyNumberFormat="1" applyFill="1" applyBorder="1"/>
    <xf numFmtId="0" fontId="0" fillId="5" borderId="33" xfId="0" applyFill="1" applyBorder="1" applyAlignment="1">
      <alignment horizontal="center"/>
    </xf>
    <xf numFmtId="1" fontId="0" fillId="5" borderId="35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2" fontId="0" fillId="7" borderId="36" xfId="0" applyNumberFormat="1" applyFill="1" applyBorder="1" applyAlignment="1">
      <alignment horizontal="center"/>
    </xf>
    <xf numFmtId="2" fontId="0" fillId="9" borderId="36" xfId="0" applyNumberFormat="1" applyFill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0" fontId="0" fillId="14" borderId="36" xfId="0" applyFill="1" applyBorder="1"/>
    <xf numFmtId="0" fontId="0" fillId="15" borderId="37" xfId="0" applyFill="1" applyBorder="1"/>
    <xf numFmtId="1" fontId="0" fillId="5" borderId="38" xfId="0" applyNumberForma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2" fontId="0" fillId="7" borderId="39" xfId="0" applyNumberFormat="1" applyFill="1" applyBorder="1" applyAlignment="1">
      <alignment horizontal="center"/>
    </xf>
    <xf numFmtId="2" fontId="0" fillId="9" borderId="39" xfId="0" applyNumberFormat="1" applyFill="1" applyBorder="1" applyAlignment="1">
      <alignment horizontal="center"/>
    </xf>
    <xf numFmtId="2" fontId="0" fillId="4" borderId="39" xfId="0" applyNumberFormat="1" applyFill="1" applyBorder="1" applyAlignment="1">
      <alignment horizontal="center"/>
    </xf>
    <xf numFmtId="10" fontId="0" fillId="14" borderId="39" xfId="0" applyNumberFormat="1" applyFill="1" applyBorder="1"/>
    <xf numFmtId="2" fontId="0" fillId="15" borderId="40" xfId="0" applyNumberFormat="1" applyFill="1" applyBorder="1"/>
    <xf numFmtId="2" fontId="0" fillId="4" borderId="16" xfId="0" applyNumberFormat="1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2" borderId="41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0" borderId="0" xfId="0" applyFont="1"/>
    <xf numFmtId="0" fontId="6" fillId="10" borderId="43" xfId="0" applyFont="1" applyFill="1" applyBorder="1"/>
    <xf numFmtId="0" fontId="6" fillId="10" borderId="12" xfId="0" applyFont="1" applyFill="1" applyBorder="1"/>
    <xf numFmtId="0" fontId="6" fillId="10" borderId="15" xfId="0" applyFont="1" applyFill="1" applyBorder="1"/>
    <xf numFmtId="0" fontId="6" fillId="10" borderId="9" xfId="0" applyFont="1" applyFill="1" applyBorder="1"/>
    <xf numFmtId="0" fontId="6" fillId="10" borderId="27" xfId="0" applyFont="1" applyFill="1" applyBorder="1"/>
    <xf numFmtId="0" fontId="6" fillId="10" borderId="45" xfId="0" applyFont="1" applyFill="1" applyBorder="1"/>
    <xf numFmtId="0" fontId="6" fillId="6" borderId="11" xfId="0" applyFont="1" applyFill="1" applyBorder="1"/>
    <xf numFmtId="0" fontId="6" fillId="6" borderId="8" xfId="0" applyFont="1" applyFill="1" applyBorder="1"/>
    <xf numFmtId="0" fontId="6" fillId="6" borderId="6" xfId="0" applyFont="1" applyFill="1" applyBorder="1"/>
    <xf numFmtId="0" fontId="6" fillId="6" borderId="4" xfId="0" applyFont="1" applyFill="1" applyBorder="1"/>
    <xf numFmtId="0" fontId="6" fillId="6" borderId="10" xfId="0" applyFont="1" applyFill="1" applyBorder="1"/>
    <xf numFmtId="0" fontId="5" fillId="4" borderId="27" xfId="0" applyFont="1" applyFill="1" applyBorder="1"/>
    <xf numFmtId="0" fontId="5" fillId="4" borderId="30" xfId="0" applyFont="1" applyFill="1" applyBorder="1"/>
    <xf numFmtId="0" fontId="5" fillId="4" borderId="43" xfId="0" applyFont="1" applyFill="1" applyBorder="1"/>
    <xf numFmtId="0" fontId="5" fillId="4" borderId="28" xfId="0" applyFont="1" applyFill="1" applyBorder="1"/>
    <xf numFmtId="0" fontId="5" fillId="4" borderId="45" xfId="0" applyFont="1" applyFill="1" applyBorder="1"/>
    <xf numFmtId="0" fontId="5" fillId="0" borderId="4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9" fontId="0" fillId="8" borderId="0" xfId="1" applyFont="1" applyFill="1"/>
    <xf numFmtId="0" fontId="0" fillId="0" borderId="0" xfId="0"/>
    <xf numFmtId="3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2" fontId="5" fillId="9" borderId="8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32" xfId="0" applyFill="1" applyBorder="1"/>
    <xf numFmtId="2" fontId="0" fillId="0" borderId="32" xfId="0" applyNumberFormat="1" applyFill="1" applyBorder="1"/>
    <xf numFmtId="2" fontId="0" fillId="0" borderId="32" xfId="0" applyNumberFormat="1" applyFill="1" applyBorder="1" applyAlignment="1">
      <alignment horizontal="center" vertical="center"/>
    </xf>
    <xf numFmtId="0" fontId="10" fillId="8" borderId="0" xfId="0" applyFont="1" applyFill="1"/>
    <xf numFmtId="2" fontId="0" fillId="8" borderId="11" xfId="0" applyNumberFormat="1" applyFill="1" applyBorder="1" applyAlignment="1"/>
    <xf numFmtId="0" fontId="0" fillId="8" borderId="28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20" xfId="0" applyFill="1" applyBorder="1" applyAlignment="1">
      <alignment horizontal="left" vertical="center" wrapText="1"/>
    </xf>
    <xf numFmtId="0" fontId="0" fillId="8" borderId="28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27" xfId="0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8" xfId="0" applyFont="1" applyFill="1" applyBorder="1" applyAlignment="1">
      <alignment horizontal="left"/>
    </xf>
    <xf numFmtId="0" fontId="5" fillId="4" borderId="45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28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4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9">
    <dxf>
      <font>
        <color theme="6" tint="-0.499984740745262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6" tint="-0.499984740745262"/>
      </font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workbookViewId="0">
      <selection activeCell="D21" sqref="D21"/>
    </sheetView>
  </sheetViews>
  <sheetFormatPr baseColWidth="10" defaultRowHeight="15"/>
  <cols>
    <col min="1" max="1" width="3.85546875" style="14" customWidth="1"/>
    <col min="2" max="2" width="3.28515625" style="14" customWidth="1"/>
    <col min="3" max="3" width="5.7109375" style="14" customWidth="1"/>
    <col min="4" max="4" width="6.28515625" style="14" customWidth="1"/>
    <col min="5" max="5" width="77.140625" style="14" bestFit="1" customWidth="1"/>
    <col min="6" max="16384" width="11.42578125" style="14"/>
  </cols>
  <sheetData>
    <row r="1" spans="2:5">
      <c r="B1" s="14" t="s">
        <v>29</v>
      </c>
    </row>
    <row r="2" spans="2:5" ht="21">
      <c r="C2" s="40" t="s">
        <v>15</v>
      </c>
    </row>
    <row r="4" spans="2:5" ht="16.5" thickBot="1">
      <c r="C4" s="41">
        <v>280</v>
      </c>
      <c r="D4" s="46" t="s">
        <v>16</v>
      </c>
      <c r="E4" s="46"/>
    </row>
    <row r="5" spans="2:5">
      <c r="B5" s="42"/>
      <c r="D5" s="14">
        <v>2801</v>
      </c>
      <c r="E5" s="14" t="s">
        <v>0</v>
      </c>
    </row>
    <row r="6" spans="2:5">
      <c r="B6" s="43"/>
      <c r="D6" s="14">
        <v>2803</v>
      </c>
      <c r="E6" s="14" t="s">
        <v>17</v>
      </c>
    </row>
    <row r="7" spans="2:5">
      <c r="B7" s="43"/>
      <c r="D7" s="14">
        <v>2805</v>
      </c>
      <c r="E7" s="14" t="s">
        <v>18</v>
      </c>
    </row>
    <row r="8" spans="2:5">
      <c r="B8" s="43"/>
      <c r="D8" s="14">
        <v>2807</v>
      </c>
      <c r="E8" s="14" t="s">
        <v>19</v>
      </c>
    </row>
    <row r="9" spans="2:5" ht="15.75" thickBot="1">
      <c r="B9" s="44"/>
      <c r="D9" s="14">
        <v>2808</v>
      </c>
      <c r="E9" s="14" t="s">
        <v>20</v>
      </c>
    </row>
    <row r="10" spans="2:5">
      <c r="B10" s="45"/>
    </row>
    <row r="11" spans="2:5" ht="16.5" thickBot="1">
      <c r="B11" s="45"/>
      <c r="C11" s="41">
        <v>281</v>
      </c>
      <c r="D11" s="46" t="s">
        <v>21</v>
      </c>
      <c r="E11" s="46"/>
    </row>
    <row r="12" spans="2:5">
      <c r="B12" s="42"/>
      <c r="D12" s="14">
        <v>2811</v>
      </c>
      <c r="E12" s="14" t="s">
        <v>22</v>
      </c>
    </row>
    <row r="13" spans="2:5">
      <c r="B13" s="43"/>
      <c r="D13" s="14">
        <v>2812</v>
      </c>
      <c r="E13" s="14" t="s">
        <v>23</v>
      </c>
    </row>
    <row r="14" spans="2:5">
      <c r="B14" s="43"/>
      <c r="D14" s="14">
        <v>2813</v>
      </c>
      <c r="E14" s="14" t="s">
        <v>24</v>
      </c>
    </row>
    <row r="15" spans="2:5">
      <c r="B15" s="43"/>
      <c r="D15" s="14">
        <v>2814</v>
      </c>
      <c r="E15" s="14" t="s">
        <v>26</v>
      </c>
    </row>
    <row r="16" spans="2:5">
      <c r="B16" s="43"/>
      <c r="D16" s="14">
        <v>2815</v>
      </c>
      <c r="E16" s="14" t="s">
        <v>25</v>
      </c>
    </row>
    <row r="17" spans="2:5" ht="15.75" thickBot="1">
      <c r="B17" s="44" t="s">
        <v>82</v>
      </c>
      <c r="D17" s="14">
        <v>2818</v>
      </c>
      <c r="E17" s="14" t="s">
        <v>27</v>
      </c>
    </row>
  </sheetData>
  <conditionalFormatting sqref="D5:E17">
    <cfRule type="expression" dxfId="8" priority="1">
      <formula>AND($B5="X")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4"/>
  <sheetViews>
    <sheetView zoomScale="70" zoomScaleNormal="70" workbookViewId="0">
      <selection activeCell="J21" sqref="J21"/>
    </sheetView>
  </sheetViews>
  <sheetFormatPr baseColWidth="10" defaultRowHeight="15"/>
  <cols>
    <col min="1" max="1" width="6" customWidth="1"/>
    <col min="2" max="2" width="29.85546875" bestFit="1" customWidth="1"/>
    <col min="6" max="6" width="7.7109375" customWidth="1"/>
    <col min="7" max="7" width="15.28515625" bestFit="1" customWidth="1"/>
    <col min="8" max="8" width="10.7109375" customWidth="1"/>
    <col min="9" max="9" width="14.85546875" bestFit="1" customWidth="1"/>
    <col min="10" max="10" width="10.7109375" customWidth="1"/>
    <col min="13" max="13" width="22.5703125" customWidth="1"/>
    <col min="17" max="18" width="11.42578125" style="164"/>
  </cols>
  <sheetData>
    <row r="1" spans="1:24" ht="8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4" ht="19.5" thickBot="1">
      <c r="A2" s="14"/>
      <c r="B2" s="39" t="s">
        <v>5</v>
      </c>
      <c r="C2" s="14"/>
      <c r="D2" s="14"/>
      <c r="E2" s="14"/>
      <c r="F2" s="39" t="s">
        <v>7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4" ht="15.75" thickBot="1">
      <c r="A3" s="14"/>
      <c r="B3" s="4" t="s">
        <v>8</v>
      </c>
      <c r="C3" s="1">
        <v>1000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4" ht="15.75" thickBot="1">
      <c r="A4" s="14"/>
      <c r="B4" s="5" t="s">
        <v>1</v>
      </c>
      <c r="C4" s="2">
        <v>5</v>
      </c>
      <c r="D4" s="14"/>
      <c r="E4" s="14"/>
      <c r="F4" s="34" t="s">
        <v>1</v>
      </c>
      <c r="G4" s="35" t="s">
        <v>8</v>
      </c>
      <c r="H4" s="36" t="s">
        <v>12</v>
      </c>
      <c r="I4" s="37" t="s">
        <v>14</v>
      </c>
      <c r="J4" s="38" t="s">
        <v>13</v>
      </c>
      <c r="K4" s="14"/>
    </row>
    <row r="5" spans="1:24">
      <c r="A5" s="14"/>
      <c r="B5" s="5" t="s">
        <v>31</v>
      </c>
      <c r="C5" s="2">
        <v>1</v>
      </c>
      <c r="D5" s="14"/>
      <c r="E5" s="14"/>
      <c r="F5" s="18">
        <f>C7</f>
        <v>2009</v>
      </c>
      <c r="G5" s="19">
        <f t="shared" ref="G5:G12" si="0">IF(F5&lt;&gt;"",$C$3,"")</f>
        <v>1000</v>
      </c>
      <c r="H5" s="20">
        <f>C15</f>
        <v>100</v>
      </c>
      <c r="I5" s="21">
        <f>H5</f>
        <v>100</v>
      </c>
      <c r="J5" s="22">
        <f>G5-H5</f>
        <v>900</v>
      </c>
      <c r="K5" s="14"/>
      <c r="V5" s="164"/>
      <c r="W5" s="164"/>
      <c r="X5" s="164"/>
    </row>
    <row r="6" spans="1:24">
      <c r="A6" s="14"/>
      <c r="B6" s="5" t="s">
        <v>32</v>
      </c>
      <c r="C6" s="2">
        <v>7</v>
      </c>
      <c r="D6" s="14"/>
      <c r="E6" s="14"/>
      <c r="F6" s="23">
        <f>IF($C$4&gt;0,$F$5+1,"")</f>
        <v>2010</v>
      </c>
      <c r="G6" s="24">
        <f t="shared" si="0"/>
        <v>1000</v>
      </c>
      <c r="H6" s="25">
        <f t="shared" ref="H6:H15" si="1">IF(AND(F7="",F8="",F6=""),"",IF(F7&lt;&gt;"",$C$14,$C$14-$C$15))</f>
        <v>200</v>
      </c>
      <c r="I6" s="26">
        <f t="shared" ref="I6:I13" si="2">IF(F6="","",I5+H6)</f>
        <v>300</v>
      </c>
      <c r="J6" s="27">
        <f t="shared" ref="J6:J13" si="3">IF(F6="","",J5-H6)</f>
        <v>700</v>
      </c>
      <c r="K6" s="14"/>
      <c r="V6" s="164"/>
      <c r="W6" s="164"/>
      <c r="X6" s="164"/>
    </row>
    <row r="7" spans="1:24">
      <c r="A7" s="14"/>
      <c r="B7" s="5" t="s">
        <v>33</v>
      </c>
      <c r="C7" s="2">
        <v>2009</v>
      </c>
      <c r="D7" s="14"/>
      <c r="E7" s="14"/>
      <c r="F7" s="23">
        <f>IF($C$4&gt;1,$F$5+2,"")</f>
        <v>2011</v>
      </c>
      <c r="G7" s="24">
        <f t="shared" si="0"/>
        <v>1000</v>
      </c>
      <c r="H7" s="25">
        <f t="shared" si="1"/>
        <v>200</v>
      </c>
      <c r="I7" s="26">
        <f t="shared" si="2"/>
        <v>500</v>
      </c>
      <c r="J7" s="27">
        <f t="shared" si="3"/>
        <v>500</v>
      </c>
      <c r="K7" s="14"/>
      <c r="V7" s="164"/>
      <c r="W7" s="164"/>
      <c r="X7" s="164"/>
    </row>
    <row r="8" spans="1:24" ht="15.75" thickBot="1">
      <c r="A8" s="14"/>
      <c r="B8" s="6" t="s">
        <v>9</v>
      </c>
      <c r="C8" s="3">
        <v>2011</v>
      </c>
      <c r="D8" s="14"/>
      <c r="E8" s="14"/>
      <c r="F8" s="23">
        <f>IF($C$4&gt;2,$F$5+3,"")</f>
        <v>2012</v>
      </c>
      <c r="G8" s="24">
        <f t="shared" si="0"/>
        <v>1000</v>
      </c>
      <c r="H8" s="25">
        <f t="shared" si="1"/>
        <v>200</v>
      </c>
      <c r="I8" s="26">
        <f t="shared" si="2"/>
        <v>700</v>
      </c>
      <c r="J8" s="27">
        <f t="shared" si="3"/>
        <v>300</v>
      </c>
      <c r="K8" s="14"/>
      <c r="V8" s="164"/>
      <c r="W8" s="164"/>
      <c r="X8" s="164"/>
    </row>
    <row r="9" spans="1:24">
      <c r="A9" s="14"/>
      <c r="B9" s="14"/>
      <c r="C9" s="14"/>
      <c r="D9" s="14"/>
      <c r="E9" s="14"/>
      <c r="F9" s="23">
        <f>IF($C$4&gt;3,$F$5+4,"")</f>
        <v>2013</v>
      </c>
      <c r="G9" s="24">
        <f t="shared" si="0"/>
        <v>1000</v>
      </c>
      <c r="H9" s="25">
        <f>IF(AND(F10="",F11="",F9=""),"",IF(F10&lt;&gt;"",$C$14,$C$14-$C$15))</f>
        <v>200</v>
      </c>
      <c r="I9" s="26">
        <f t="shared" si="2"/>
        <v>900</v>
      </c>
      <c r="J9" s="27">
        <f t="shared" si="3"/>
        <v>100</v>
      </c>
      <c r="K9" s="14"/>
      <c r="V9" s="164"/>
      <c r="W9" s="164"/>
      <c r="X9" s="164"/>
    </row>
    <row r="10" spans="1:24" s="14" customFormat="1">
      <c r="B10" s="15"/>
      <c r="C10" s="16"/>
      <c r="F10" s="23">
        <f>IF($C$4&gt;4,$F$5+5,"")</f>
        <v>2014</v>
      </c>
      <c r="G10" s="24">
        <f t="shared" si="0"/>
        <v>1000</v>
      </c>
      <c r="H10" s="25">
        <f t="shared" si="1"/>
        <v>100</v>
      </c>
      <c r="I10" s="26">
        <f t="shared" si="2"/>
        <v>1000</v>
      </c>
      <c r="J10" s="27">
        <f t="shared" si="3"/>
        <v>0</v>
      </c>
    </row>
    <row r="11" spans="1:24" s="14" customFormat="1">
      <c r="B11" s="15"/>
      <c r="C11" s="16"/>
      <c r="F11" s="23" t="str">
        <f>IF($C$4&gt;5,$F$5+6,"")</f>
        <v/>
      </c>
      <c r="G11" s="24" t="str">
        <f t="shared" si="0"/>
        <v/>
      </c>
      <c r="H11" s="25" t="str">
        <f t="shared" si="1"/>
        <v/>
      </c>
      <c r="I11" s="26" t="str">
        <f t="shared" si="2"/>
        <v/>
      </c>
      <c r="J11" s="27" t="str">
        <f t="shared" si="3"/>
        <v/>
      </c>
    </row>
    <row r="12" spans="1:24" ht="19.5" thickBot="1">
      <c r="A12" s="14"/>
      <c r="B12" s="17" t="s">
        <v>6</v>
      </c>
      <c r="C12" s="14"/>
      <c r="D12" s="14"/>
      <c r="E12" s="14"/>
      <c r="F12" s="23" t="str">
        <f>IF($C$4&gt;6,$F$5+7,"")</f>
        <v/>
      </c>
      <c r="G12" s="24" t="str">
        <f t="shared" si="0"/>
        <v/>
      </c>
      <c r="H12" s="25" t="str">
        <f t="shared" si="1"/>
        <v/>
      </c>
      <c r="I12" s="26" t="str">
        <f t="shared" si="2"/>
        <v/>
      </c>
      <c r="J12" s="27" t="str">
        <f t="shared" si="3"/>
        <v/>
      </c>
      <c r="K12" s="14"/>
    </row>
    <row r="13" spans="1:24">
      <c r="A13" s="14"/>
      <c r="B13" s="9" t="s">
        <v>2</v>
      </c>
      <c r="C13" s="10">
        <f>(30-C5+1)+30*(12-C6)</f>
        <v>180</v>
      </c>
      <c r="D13" s="14"/>
      <c r="E13" s="14"/>
      <c r="F13" s="23" t="str">
        <f>IF($C$4&gt;7,$F$5+8,"")</f>
        <v/>
      </c>
      <c r="G13" s="24" t="str">
        <f t="shared" ref="G13:G17" si="4">IF(F13&lt;&gt;"",$C$3,"")</f>
        <v/>
      </c>
      <c r="H13" s="25" t="str">
        <f t="shared" si="1"/>
        <v/>
      </c>
      <c r="I13" s="26" t="str">
        <f t="shared" si="2"/>
        <v/>
      </c>
      <c r="J13" s="27" t="str">
        <f t="shared" si="3"/>
        <v/>
      </c>
      <c r="K13" s="14"/>
    </row>
    <row r="14" spans="1:24">
      <c r="A14" s="14"/>
      <c r="B14" s="7" t="s">
        <v>3</v>
      </c>
      <c r="C14" s="11">
        <f>C3/C4</f>
        <v>200</v>
      </c>
      <c r="D14" s="14"/>
      <c r="E14" s="14"/>
      <c r="F14" s="23" t="str">
        <f>IF($C$4&gt;8,$F$5+9,"")</f>
        <v/>
      </c>
      <c r="G14" s="24" t="str">
        <f t="shared" si="4"/>
        <v/>
      </c>
      <c r="H14" s="25" t="str">
        <f t="shared" si="1"/>
        <v/>
      </c>
      <c r="I14" s="26" t="str">
        <f t="shared" ref="I14" si="5">IF(F14="","",I13+H14)</f>
        <v/>
      </c>
      <c r="J14" s="27" t="str">
        <f t="shared" ref="J14" si="6">IF(F14="","",J13-H14)</f>
        <v/>
      </c>
      <c r="K14" s="14"/>
      <c r="L14" s="14"/>
      <c r="M14" s="14"/>
      <c r="N14" s="14"/>
      <c r="O14" s="14"/>
      <c r="P14" s="14"/>
      <c r="Q14" s="14"/>
      <c r="R14" s="14"/>
    </row>
    <row r="15" spans="1:24" ht="15.75" thickBot="1">
      <c r="A15" s="14"/>
      <c r="B15" s="8" t="s">
        <v>4</v>
      </c>
      <c r="C15" s="12">
        <f>C14*C13/360</f>
        <v>100</v>
      </c>
      <c r="D15" s="14"/>
      <c r="E15" s="14"/>
      <c r="F15" s="23" t="str">
        <f>IF($C$4&gt;9,$F$5+10,"")</f>
        <v/>
      </c>
      <c r="G15" s="24" t="str">
        <f t="shared" si="4"/>
        <v/>
      </c>
      <c r="H15" s="25" t="str">
        <f t="shared" si="1"/>
        <v/>
      </c>
      <c r="I15" s="26" t="str">
        <f>IF(F15="","",I14+H15)</f>
        <v/>
      </c>
      <c r="J15" s="27" t="str">
        <f>IF(F15="","",J14-H15)</f>
        <v/>
      </c>
      <c r="K15" s="14"/>
      <c r="L15" s="14"/>
      <c r="M15" s="14"/>
      <c r="N15" s="14"/>
      <c r="O15" s="14"/>
      <c r="P15" s="14"/>
      <c r="Q15" s="14"/>
      <c r="R15" s="14"/>
    </row>
    <row r="16" spans="1:24">
      <c r="A16" s="14"/>
      <c r="B16" s="15"/>
      <c r="C16" s="33"/>
      <c r="D16" s="14"/>
      <c r="E16" s="14"/>
      <c r="F16" s="23" t="str">
        <f>IF($C$4&gt;10,$F$5+11,"")</f>
        <v/>
      </c>
      <c r="G16" s="24" t="str">
        <f t="shared" si="4"/>
        <v/>
      </c>
      <c r="H16" s="25" t="str">
        <f>IF(AND(F17="",F18="",F16=""),"",IF(F17&lt;&gt;"",$C$14,$C$14-$C$15))</f>
        <v/>
      </c>
      <c r="I16" s="26" t="str">
        <f t="shared" ref="I16:I17" si="7">IF(F16="","",I15+H16)</f>
        <v/>
      </c>
      <c r="J16" s="27" t="str">
        <f t="shared" ref="J16:J17" si="8">IF(F16="","",J15-H16)</f>
        <v/>
      </c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5"/>
      <c r="C17" s="33"/>
      <c r="D17" s="14"/>
      <c r="E17" s="14"/>
      <c r="F17" s="23" t="str">
        <f>IF($C$4&gt;11,$F$5+12,"")</f>
        <v/>
      </c>
      <c r="G17" s="24" t="str">
        <f t="shared" si="4"/>
        <v/>
      </c>
      <c r="H17" s="25" t="str">
        <f>IF(AND(F18="",F19="",F17=""),"",IF(F18&lt;&gt;"",$C$14,$C$14-$C$15))</f>
        <v/>
      </c>
      <c r="I17" s="26" t="str">
        <f t="shared" si="7"/>
        <v/>
      </c>
      <c r="J17" s="27" t="str">
        <f t="shared" si="8"/>
        <v/>
      </c>
      <c r="K17" s="14"/>
      <c r="L17" s="14"/>
      <c r="M17" s="14"/>
      <c r="N17" s="14"/>
      <c r="O17" s="14"/>
      <c r="P17" s="14"/>
      <c r="Q17" s="14"/>
      <c r="R17" s="14"/>
    </row>
    <row r="18" spans="1:18" ht="15.75" thickBot="1">
      <c r="A18" s="14"/>
      <c r="B18" s="14"/>
      <c r="C18" s="14"/>
      <c r="D18" s="14"/>
      <c r="E18" s="14"/>
      <c r="F18" s="28"/>
      <c r="G18" s="29"/>
      <c r="H18" s="30"/>
      <c r="I18" s="31"/>
      <c r="J18" s="32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9.5" thickBot="1">
      <c r="A20" s="14"/>
      <c r="B20" s="14"/>
      <c r="C20" s="39" t="s">
        <v>10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49.5" customHeight="1" thickBot="1">
      <c r="A21" s="14"/>
      <c r="B21" s="14"/>
      <c r="C21" s="47">
        <v>681</v>
      </c>
      <c r="D21" s="50"/>
      <c r="E21" s="181" t="s">
        <v>11</v>
      </c>
      <c r="F21" s="182"/>
      <c r="G21" s="50"/>
      <c r="H21" s="48">
        <f>LOOKUP($C$8,$F$5:$F$18,$H$5:$H$18)</f>
        <v>200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s="14" customFormat="1" ht="43.5" customHeight="1" thickBot="1">
      <c r="C22" s="51"/>
      <c r="D22" s="52">
        <f>LOOKUP("X",'1-1) Type amortissement'!B5:B17,'1-1) Type amortissement'!D5:D17)</f>
        <v>2818</v>
      </c>
      <c r="E22" s="53"/>
      <c r="F22" s="182" t="str">
        <f>LOOKUP("X",'1-1) Type amortissement'!B5:B17,'1-1) Type amortissement'!E5:E17)</f>
        <v>Autres immobilisations corporelles</v>
      </c>
      <c r="G22" s="183"/>
      <c r="H22" s="49"/>
      <c r="I22" s="48">
        <f>LOOKUP($C$8,$F$5:$F$18,$H$5:$H$18)</f>
        <v>200</v>
      </c>
    </row>
    <row r="23" spans="1:18" s="14" customFormat="1"/>
    <row r="24" spans="1:18" s="14" customFormat="1"/>
    <row r="25" spans="1:18" s="14" customFormat="1"/>
    <row r="26" spans="1:18" s="14" customFormat="1"/>
    <row r="27" spans="1:18" s="14" customFormat="1">
      <c r="G27" s="163"/>
    </row>
    <row r="28" spans="1:18" s="14" customFormat="1"/>
    <row r="29" spans="1:18" s="14" customFormat="1"/>
    <row r="30" spans="1:18" s="14" customFormat="1"/>
    <row r="31" spans="1:18" s="14" customFormat="1"/>
    <row r="32" spans="1:18" s="14" customFormat="1"/>
    <row r="33" s="14" customFormat="1"/>
    <row r="34" s="14" customFormat="1"/>
  </sheetData>
  <mergeCells count="2">
    <mergeCell ref="E21:F21"/>
    <mergeCell ref="F22:G22"/>
  </mergeCells>
  <conditionalFormatting sqref="H6:H17">
    <cfRule type="expression" dxfId="7" priority="11">
      <formula>AND($F6&lt;&gt;$C$8)</formula>
    </cfRule>
    <cfRule type="cellIs" dxfId="6" priority="12" operator="equal">
      <formula>$H$21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9"/>
  <sheetViews>
    <sheetView zoomScale="70" zoomScaleNormal="70" workbookViewId="0">
      <selection activeCell="M21" sqref="M21"/>
    </sheetView>
  </sheetViews>
  <sheetFormatPr baseColWidth="10" defaultRowHeight="15"/>
  <cols>
    <col min="1" max="1" width="6" customWidth="1"/>
    <col min="2" max="2" width="29.85546875" bestFit="1" customWidth="1"/>
    <col min="6" max="6" width="15.28515625" bestFit="1" customWidth="1"/>
    <col min="7" max="7" width="9.42578125" bestFit="1" customWidth="1"/>
    <col min="8" max="9" width="14.85546875" bestFit="1" customWidth="1"/>
    <col min="10" max="10" width="10.7109375" customWidth="1"/>
    <col min="13" max="13" width="21.7109375" customWidth="1"/>
    <col min="14" max="14" width="14.85546875" bestFit="1" customWidth="1"/>
    <col min="15" max="15" width="15.5703125" customWidth="1"/>
    <col min="16" max="21" width="11.42578125" style="14"/>
  </cols>
  <sheetData>
    <row r="1" spans="1:17" ht="8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19.5" thickBot="1">
      <c r="A2" s="14"/>
      <c r="B2" s="39" t="s">
        <v>5</v>
      </c>
      <c r="C2" s="14"/>
      <c r="D2" s="14"/>
      <c r="E2" s="39" t="s">
        <v>40</v>
      </c>
      <c r="F2" s="14"/>
      <c r="G2" s="14"/>
      <c r="H2" s="14"/>
      <c r="I2" s="14"/>
      <c r="J2" s="14"/>
      <c r="K2" s="39" t="s">
        <v>41</v>
      </c>
      <c r="L2" s="14"/>
      <c r="M2" s="14"/>
      <c r="N2" s="14"/>
      <c r="O2" s="14"/>
    </row>
    <row r="3" spans="1:17" ht="15.75" thickBot="1">
      <c r="A3" s="14"/>
      <c r="B3" s="4" t="s">
        <v>8</v>
      </c>
      <c r="C3" s="1">
        <v>12000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7" ht="15.75" thickBot="1">
      <c r="A4" s="14"/>
      <c r="B4" s="5" t="s">
        <v>1</v>
      </c>
      <c r="C4" s="2">
        <v>3</v>
      </c>
      <c r="D4" s="14"/>
      <c r="E4" s="34" t="s">
        <v>1</v>
      </c>
      <c r="F4" s="35" t="s">
        <v>8</v>
      </c>
      <c r="G4" s="36" t="s">
        <v>12</v>
      </c>
      <c r="H4" s="37" t="s">
        <v>14</v>
      </c>
      <c r="I4" s="38" t="s">
        <v>13</v>
      </c>
      <c r="J4" s="14"/>
      <c r="K4" s="34" t="s">
        <v>1</v>
      </c>
      <c r="L4" s="35" t="s">
        <v>42</v>
      </c>
      <c r="M4" s="36" t="s">
        <v>12</v>
      </c>
      <c r="N4" s="37" t="s">
        <v>14</v>
      </c>
      <c r="O4" s="125" t="s">
        <v>13</v>
      </c>
      <c r="P4" s="126" t="s">
        <v>43</v>
      </c>
      <c r="Q4" s="127" t="s">
        <v>44</v>
      </c>
    </row>
    <row r="5" spans="1:17">
      <c r="A5" s="14"/>
      <c r="B5" s="5" t="s">
        <v>34</v>
      </c>
      <c r="C5" s="2">
        <v>1</v>
      </c>
      <c r="D5" s="14"/>
      <c r="E5" s="18">
        <f>C7</f>
        <v>2009</v>
      </c>
      <c r="F5" s="19">
        <f t="shared" ref="F5:F12" si="0">IF(E5&lt;&gt;"",$C$3,"")</f>
        <v>12000</v>
      </c>
      <c r="G5" s="20">
        <f>C15</f>
        <v>2000</v>
      </c>
      <c r="H5" s="21">
        <f>G5</f>
        <v>2000</v>
      </c>
      <c r="I5" s="22">
        <f>F5-G5</f>
        <v>10000</v>
      </c>
      <c r="J5" s="14"/>
      <c r="K5" s="118">
        <f>C7</f>
        <v>2009</v>
      </c>
      <c r="L5" s="119">
        <f>C3</f>
        <v>12000</v>
      </c>
      <c r="M5" s="120">
        <f>C3*C18*(12-C6+1)/12</f>
        <v>3500</v>
      </c>
      <c r="N5" s="121">
        <f>M5</f>
        <v>3500</v>
      </c>
      <c r="O5" s="122">
        <f>L5-N5</f>
        <v>8500</v>
      </c>
      <c r="P5" s="123">
        <f>1/C4</f>
        <v>0.33333333333333331</v>
      </c>
      <c r="Q5" s="124">
        <f>IF(OR(G5="",M5=""),"",M5-G5)</f>
        <v>1500</v>
      </c>
    </row>
    <row r="6" spans="1:17">
      <c r="A6" s="14"/>
      <c r="B6" s="5" t="s">
        <v>36</v>
      </c>
      <c r="C6" s="2">
        <v>7</v>
      </c>
      <c r="D6" s="14"/>
      <c r="E6" s="23">
        <f>IF($C$4&gt;0,$E$5+1,"")</f>
        <v>2010</v>
      </c>
      <c r="F6" s="24">
        <f t="shared" si="0"/>
        <v>12000</v>
      </c>
      <c r="G6" s="25">
        <f t="shared" ref="G6:G15" si="1">IF(AND(E7="",E8="",E6=""),"",IF(E7&lt;&gt;"",$C$14,$C$14-$C$15))</f>
        <v>4000</v>
      </c>
      <c r="H6" s="26">
        <f t="shared" ref="H6:H13" si="2">IF(E6="","",H5+G6)</f>
        <v>6000</v>
      </c>
      <c r="I6" s="27">
        <f t="shared" ref="I6:I13" si="3">IF(E6="","",I5-G6)</f>
        <v>6000</v>
      </c>
      <c r="J6" s="14"/>
      <c r="K6" s="110">
        <f>IF($C$4&gt;0,$E$5+1,"")</f>
        <v>2010</v>
      </c>
      <c r="L6" s="107">
        <f>IF(K6&lt;&gt;"",O5,"")</f>
        <v>8500</v>
      </c>
      <c r="M6" s="103">
        <f t="shared" ref="M6:M15" si="4">IF(OR(L5="",P5=""),"",IF(P6&gt;$C$18,IF(P5&gt;$C$18,M5,L6*P6),IF(AND(K6="",K7="",K8=""),"",IF(K7&lt;&gt;"",L6*$C$18,FALSE))))</f>
        <v>4958.3333333333339</v>
      </c>
      <c r="N6" s="104">
        <f>IF(K6="","",N5+M6)</f>
        <v>8458.3333333333339</v>
      </c>
      <c r="O6" s="105">
        <f>IF(K6="","",O5-M6)</f>
        <v>3541.6666666666661</v>
      </c>
      <c r="P6" s="106">
        <f>IF(OR(P5=100%,P5=""),"",1/($C$4-1))</f>
        <v>0.5</v>
      </c>
      <c r="Q6" s="109">
        <f t="shared" ref="Q6:Q17" si="5">IF(OR(G6="",M6=""),"",M6-G6)</f>
        <v>958.33333333333394</v>
      </c>
    </row>
    <row r="7" spans="1:17">
      <c r="A7" s="14"/>
      <c r="B7" s="5" t="s">
        <v>37</v>
      </c>
      <c r="C7" s="2">
        <v>2009</v>
      </c>
      <c r="D7" s="14"/>
      <c r="E7" s="23">
        <f>IF($C$4&gt;1,$E$5+2,"")</f>
        <v>2011</v>
      </c>
      <c r="F7" s="24">
        <f t="shared" si="0"/>
        <v>12000</v>
      </c>
      <c r="G7" s="25">
        <f t="shared" si="1"/>
        <v>4000</v>
      </c>
      <c r="H7" s="26">
        <f t="shared" si="2"/>
        <v>10000</v>
      </c>
      <c r="I7" s="27">
        <f t="shared" si="3"/>
        <v>2000</v>
      </c>
      <c r="J7" s="14"/>
      <c r="K7" s="110">
        <f>IF($C$4&gt;1,$E$5+2,"")</f>
        <v>2011</v>
      </c>
      <c r="L7" s="107">
        <f t="shared" ref="L7:L17" si="6">IF(K7&lt;&gt;"",O6,"")</f>
        <v>3541.6666666666661</v>
      </c>
      <c r="M7" s="103">
        <f t="shared" si="4"/>
        <v>3541.6666666666661</v>
      </c>
      <c r="N7" s="104">
        <f t="shared" ref="N7:N17" si="7">IF(K7="","",N6+M7)</f>
        <v>12000</v>
      </c>
      <c r="O7" s="105">
        <f t="shared" ref="O7:O15" si="8">IF(K7="","",O6-M7)</f>
        <v>0</v>
      </c>
      <c r="P7" s="106">
        <f>IF(OR(P6=100%,P6=""),"",1/($C$4-2))</f>
        <v>1</v>
      </c>
      <c r="Q7" s="109">
        <f t="shared" si="5"/>
        <v>-458.33333333333394</v>
      </c>
    </row>
    <row r="8" spans="1:17" ht="15.75" thickBot="1">
      <c r="A8" s="14"/>
      <c r="B8" s="6" t="s">
        <v>9</v>
      </c>
      <c r="C8" s="3">
        <v>2011</v>
      </c>
      <c r="D8" s="14"/>
      <c r="E8" s="23">
        <f>IF($C$4&gt;2,$E$5+3,"")</f>
        <v>2012</v>
      </c>
      <c r="F8" s="24">
        <f t="shared" si="0"/>
        <v>12000</v>
      </c>
      <c r="G8" s="25">
        <f t="shared" si="1"/>
        <v>2000</v>
      </c>
      <c r="H8" s="26">
        <f t="shared" si="2"/>
        <v>12000</v>
      </c>
      <c r="I8" s="27">
        <f t="shared" si="3"/>
        <v>0</v>
      </c>
      <c r="J8" s="14"/>
      <c r="K8" s="110">
        <f>IF($C$4&gt;2,$E$5+3,"")</f>
        <v>2012</v>
      </c>
      <c r="L8" s="107">
        <f t="shared" si="6"/>
        <v>0</v>
      </c>
      <c r="M8" s="103">
        <f t="shared" si="4"/>
        <v>3541.6666666666661</v>
      </c>
      <c r="N8" s="104">
        <f t="shared" si="7"/>
        <v>15541.666666666666</v>
      </c>
      <c r="O8" s="105">
        <f t="shared" si="8"/>
        <v>-3541.6666666666661</v>
      </c>
      <c r="P8" s="106" t="str">
        <f>IF(OR(P7=100%,P7=""),"",1/($C$4-3))</f>
        <v/>
      </c>
      <c r="Q8" s="109">
        <f t="shared" si="5"/>
        <v>1541.6666666666661</v>
      </c>
    </row>
    <row r="9" spans="1:17">
      <c r="A9" s="14"/>
      <c r="B9" s="14"/>
      <c r="C9" s="55"/>
      <c r="D9" s="14"/>
      <c r="E9" s="23" t="str">
        <f>IF($C$4&gt;3,$E$5+4,"")</f>
        <v/>
      </c>
      <c r="F9" s="24" t="str">
        <f t="shared" si="0"/>
        <v/>
      </c>
      <c r="G9" s="25" t="str">
        <f>IF(AND(E10="",E11="",E9=""),"",IF(E10&lt;&gt;"",$C$14,$C$14-$C$15))</f>
        <v/>
      </c>
      <c r="H9" s="26" t="str">
        <f t="shared" si="2"/>
        <v/>
      </c>
      <c r="I9" s="27" t="str">
        <f t="shared" si="3"/>
        <v/>
      </c>
      <c r="J9" s="14"/>
      <c r="K9" s="110" t="str">
        <f>IF($C$4&gt;3,$E$5+4,"")</f>
        <v/>
      </c>
      <c r="L9" s="107" t="str">
        <f t="shared" si="6"/>
        <v/>
      </c>
      <c r="M9" s="103" t="str">
        <f t="shared" si="4"/>
        <v/>
      </c>
      <c r="N9" s="104" t="str">
        <f t="shared" si="7"/>
        <v/>
      </c>
      <c r="O9" s="105" t="str">
        <f t="shared" si="8"/>
        <v/>
      </c>
      <c r="P9" s="106" t="str">
        <f>IF(OR(P8=100%,P8=""),"",1/($C$4-4))</f>
        <v/>
      </c>
      <c r="Q9" s="109" t="str">
        <f t="shared" si="5"/>
        <v/>
      </c>
    </row>
    <row r="10" spans="1:17" s="14" customFormat="1">
      <c r="B10" s="15"/>
      <c r="C10" s="16"/>
      <c r="E10" s="23" t="str">
        <f>IF($C$4&gt;4,$E$5+5,"")</f>
        <v/>
      </c>
      <c r="F10" s="24" t="str">
        <f t="shared" si="0"/>
        <v/>
      </c>
      <c r="G10" s="25" t="str">
        <f t="shared" si="1"/>
        <v/>
      </c>
      <c r="H10" s="26" t="str">
        <f t="shared" si="2"/>
        <v/>
      </c>
      <c r="I10" s="27" t="str">
        <f t="shared" si="3"/>
        <v/>
      </c>
      <c r="K10" s="110" t="str">
        <f>IF($C$4&gt;4,$E$5+5,"")</f>
        <v/>
      </c>
      <c r="L10" s="107" t="str">
        <f t="shared" si="6"/>
        <v/>
      </c>
      <c r="M10" s="103" t="str">
        <f t="shared" si="4"/>
        <v/>
      </c>
      <c r="N10" s="104" t="str">
        <f t="shared" si="7"/>
        <v/>
      </c>
      <c r="O10" s="105" t="str">
        <f t="shared" si="8"/>
        <v/>
      </c>
      <c r="P10" s="106" t="str">
        <f>IF(OR(P9=100%,P9=""),"",1/($C$4-5))</f>
        <v/>
      </c>
      <c r="Q10" s="109" t="str">
        <f t="shared" si="5"/>
        <v/>
      </c>
    </row>
    <row r="11" spans="1:17" s="14" customFormat="1">
      <c r="B11" s="15"/>
      <c r="C11" s="16"/>
      <c r="E11" s="23" t="str">
        <f>IF($C$4&gt;5,$E$5+6,"")</f>
        <v/>
      </c>
      <c r="F11" s="24" t="str">
        <f t="shared" si="0"/>
        <v/>
      </c>
      <c r="G11" s="25" t="str">
        <f t="shared" si="1"/>
        <v/>
      </c>
      <c r="H11" s="26" t="str">
        <f t="shared" si="2"/>
        <v/>
      </c>
      <c r="I11" s="27" t="str">
        <f t="shared" si="3"/>
        <v/>
      </c>
      <c r="K11" s="110" t="str">
        <f>IF($C$4&gt;5,$E$5+6,"")</f>
        <v/>
      </c>
      <c r="L11" s="107" t="str">
        <f t="shared" si="6"/>
        <v/>
      </c>
      <c r="M11" s="103" t="str">
        <f t="shared" si="4"/>
        <v/>
      </c>
      <c r="N11" s="104" t="str">
        <f t="shared" si="7"/>
        <v/>
      </c>
      <c r="O11" s="105" t="str">
        <f t="shared" si="8"/>
        <v/>
      </c>
      <c r="P11" s="106" t="str">
        <f>IF(OR(P10=100%,P10=""),"",1/($C$4-6))</f>
        <v/>
      </c>
      <c r="Q11" s="109" t="str">
        <f t="shared" si="5"/>
        <v/>
      </c>
    </row>
    <row r="12" spans="1:17" ht="19.5" thickBot="1">
      <c r="A12" s="14"/>
      <c r="B12" s="17" t="s">
        <v>30</v>
      </c>
      <c r="C12" s="14"/>
      <c r="D12" s="14"/>
      <c r="E12" s="23" t="str">
        <f>IF($C$4&gt;6,$E$5+7,"")</f>
        <v/>
      </c>
      <c r="F12" s="24" t="str">
        <f t="shared" si="0"/>
        <v/>
      </c>
      <c r="G12" s="25" t="str">
        <f t="shared" si="1"/>
        <v/>
      </c>
      <c r="H12" s="26" t="str">
        <f t="shared" si="2"/>
        <v/>
      </c>
      <c r="I12" s="27" t="str">
        <f t="shared" si="3"/>
        <v/>
      </c>
      <c r="J12" s="14"/>
      <c r="K12" s="110" t="str">
        <f>IF($C$4&gt;6,$E$5+7,"")</f>
        <v/>
      </c>
      <c r="L12" s="107" t="str">
        <f t="shared" si="6"/>
        <v/>
      </c>
      <c r="M12" s="103" t="str">
        <f t="shared" si="4"/>
        <v/>
      </c>
      <c r="N12" s="104" t="str">
        <f t="shared" si="7"/>
        <v/>
      </c>
      <c r="O12" s="105" t="str">
        <f t="shared" si="8"/>
        <v/>
      </c>
      <c r="P12" s="106" t="str">
        <f>IF(OR(P11=100%,P11=""),"",1/($C$4-7))</f>
        <v/>
      </c>
      <c r="Q12" s="109" t="str">
        <f t="shared" si="5"/>
        <v/>
      </c>
    </row>
    <row r="13" spans="1:17">
      <c r="A13" s="14"/>
      <c r="B13" s="9" t="s">
        <v>2</v>
      </c>
      <c r="C13" s="10">
        <f>(31-C5)+30*(12-C6)</f>
        <v>180</v>
      </c>
      <c r="D13" s="14"/>
      <c r="E13" s="23" t="str">
        <f>IF($C$4&gt;7,$E$5+8,"")</f>
        <v/>
      </c>
      <c r="F13" s="24" t="str">
        <f t="shared" ref="F13:F17" si="9">IF(E13&lt;&gt;"",$C$3,"")</f>
        <v/>
      </c>
      <c r="G13" s="25" t="str">
        <f t="shared" si="1"/>
        <v/>
      </c>
      <c r="H13" s="26" t="str">
        <f t="shared" si="2"/>
        <v/>
      </c>
      <c r="I13" s="27" t="str">
        <f t="shared" si="3"/>
        <v/>
      </c>
      <c r="J13" s="14"/>
      <c r="K13" s="110" t="str">
        <f>IF($C$4&gt;7,$E$5+8,"")</f>
        <v/>
      </c>
      <c r="L13" s="107" t="str">
        <f t="shared" si="6"/>
        <v/>
      </c>
      <c r="M13" s="103" t="str">
        <f t="shared" si="4"/>
        <v/>
      </c>
      <c r="N13" s="104" t="str">
        <f t="shared" si="7"/>
        <v/>
      </c>
      <c r="O13" s="105" t="str">
        <f t="shared" si="8"/>
        <v/>
      </c>
      <c r="P13" s="106" t="str">
        <f>IF(OR(P12=100%,P12=""),"",1/($C$4-8))</f>
        <v/>
      </c>
      <c r="Q13" s="109" t="str">
        <f t="shared" si="5"/>
        <v/>
      </c>
    </row>
    <row r="14" spans="1:17">
      <c r="A14" s="14"/>
      <c r="B14" s="7" t="s">
        <v>3</v>
      </c>
      <c r="C14" s="11">
        <f>C3/C4</f>
        <v>4000</v>
      </c>
      <c r="D14" s="14"/>
      <c r="E14" s="23" t="str">
        <f>IF($C$4&gt;8,$E$5+9,"")</f>
        <v/>
      </c>
      <c r="F14" s="24" t="str">
        <f t="shared" si="9"/>
        <v/>
      </c>
      <c r="G14" s="25" t="str">
        <f t="shared" si="1"/>
        <v/>
      </c>
      <c r="H14" s="26" t="str">
        <f t="shared" ref="H14" si="10">IF(E14="","",H13+G14)</f>
        <v/>
      </c>
      <c r="I14" s="27" t="str">
        <f t="shared" ref="I14" si="11">IF(E14="","",I13-G14)</f>
        <v/>
      </c>
      <c r="J14" s="14"/>
      <c r="K14" s="110" t="str">
        <f>IF($C$4&gt;8,$E$5+9,"")</f>
        <v/>
      </c>
      <c r="L14" s="107" t="str">
        <f t="shared" si="6"/>
        <v/>
      </c>
      <c r="M14" s="103" t="str">
        <f t="shared" si="4"/>
        <v/>
      </c>
      <c r="N14" s="104" t="str">
        <f t="shared" si="7"/>
        <v/>
      </c>
      <c r="O14" s="105" t="str">
        <f t="shared" si="8"/>
        <v/>
      </c>
      <c r="P14" s="106" t="str">
        <f>IF(OR(P13=100%,P13=""),"",1/($C$4-9))</f>
        <v/>
      </c>
      <c r="Q14" s="109" t="str">
        <f t="shared" si="5"/>
        <v/>
      </c>
    </row>
    <row r="15" spans="1:17">
      <c r="A15" s="14"/>
      <c r="B15" s="7" t="s">
        <v>4</v>
      </c>
      <c r="C15" s="54">
        <f>C14*C13/360</f>
        <v>2000</v>
      </c>
      <c r="D15" s="14"/>
      <c r="E15" s="23" t="str">
        <f>IF($C$4&gt;9,$E$5+10,"")</f>
        <v/>
      </c>
      <c r="F15" s="24" t="str">
        <f t="shared" si="9"/>
        <v/>
      </c>
      <c r="G15" s="25" t="str">
        <f t="shared" si="1"/>
        <v/>
      </c>
      <c r="H15" s="26" t="str">
        <f>IF(E15="","",H14+G15)</f>
        <v/>
      </c>
      <c r="I15" s="27" t="str">
        <f>IF(E15="","",I14-G15)</f>
        <v/>
      </c>
      <c r="J15" s="14"/>
      <c r="K15" s="110" t="str">
        <f>IF($C$4&gt;9,$E$5+10,"")</f>
        <v/>
      </c>
      <c r="L15" s="107" t="str">
        <f t="shared" si="6"/>
        <v/>
      </c>
      <c r="M15" s="103" t="str">
        <f t="shared" si="4"/>
        <v/>
      </c>
      <c r="N15" s="104" t="str">
        <f t="shared" si="7"/>
        <v/>
      </c>
      <c r="O15" s="105" t="str">
        <f t="shared" si="8"/>
        <v/>
      </c>
      <c r="P15" s="108" t="str">
        <f>IF(OR(P14=100%,P14=""),"",1/($C$4-10))</f>
        <v/>
      </c>
      <c r="Q15" s="109" t="str">
        <f t="shared" si="5"/>
        <v/>
      </c>
    </row>
    <row r="16" spans="1:17">
      <c r="A16" s="14"/>
      <c r="B16" s="7" t="s">
        <v>35</v>
      </c>
      <c r="C16" s="54">
        <v>1.75</v>
      </c>
      <c r="D16" s="14"/>
      <c r="E16" s="23" t="str">
        <f>IF($C$4&gt;10,$E$5+11,"")</f>
        <v/>
      </c>
      <c r="F16" s="24" t="str">
        <f t="shared" si="9"/>
        <v/>
      </c>
      <c r="G16" s="25" t="str">
        <f>IF(AND(E17="",E18="",E16=""),"",IF(E17&lt;&gt;"",$C$14,$C$14-$C$15))</f>
        <v/>
      </c>
      <c r="H16" s="26" t="str">
        <f t="shared" ref="H16:H17" si="12">IF(E16="","",H15+G16)</f>
        <v/>
      </c>
      <c r="I16" s="27" t="str">
        <f t="shared" ref="I16:I17" si="13">IF(E16="","",I15-G16)</f>
        <v/>
      </c>
      <c r="J16" s="14"/>
      <c r="K16" s="110" t="str">
        <f>IF($C$4&gt;10,$E$5+11,"")</f>
        <v/>
      </c>
      <c r="L16" s="107" t="str">
        <f t="shared" si="6"/>
        <v/>
      </c>
      <c r="M16" s="103" t="str">
        <f>IF(OR(L15="",P15=""),"",IF(P16&gt;$C$18,IF(P15&gt;$C$18,M15,L16*P16),IF(AND(K16="",K17="",K18=""),"",IF(K17&lt;&gt;"",L16*$C$18,FALSE))))</f>
        <v/>
      </c>
      <c r="N16" s="104" t="str">
        <f t="shared" si="7"/>
        <v/>
      </c>
      <c r="O16" s="105" t="str">
        <f t="shared" ref="O16:O17" si="14">IF(K16="","",O15-M16)</f>
        <v/>
      </c>
      <c r="P16" s="108" t="str">
        <f>IF(OR(P15=100%,P15=""),"",1/($C$4-11))</f>
        <v/>
      </c>
      <c r="Q16" s="109" t="str">
        <f t="shared" si="5"/>
        <v/>
      </c>
    </row>
    <row r="17" spans="1:19">
      <c r="A17" s="14"/>
      <c r="B17" s="7" t="s">
        <v>38</v>
      </c>
      <c r="C17" s="54">
        <f>100/C4</f>
        <v>33.333333333333336</v>
      </c>
      <c r="D17" s="14"/>
      <c r="E17" s="23" t="str">
        <f>IF($C$4&gt;11,$E$5+12,"")</f>
        <v/>
      </c>
      <c r="F17" s="24" t="str">
        <f t="shared" si="9"/>
        <v/>
      </c>
      <c r="G17" s="25" t="str">
        <f>IF(AND(E18="",F19="",E17=""),"",IF(E18&lt;&gt;"",$C$14,$C$14-$C$15))</f>
        <v/>
      </c>
      <c r="H17" s="26" t="str">
        <f t="shared" si="12"/>
        <v/>
      </c>
      <c r="I17" s="27" t="str">
        <f t="shared" si="13"/>
        <v/>
      </c>
      <c r="J17" s="14"/>
      <c r="K17" s="110" t="str">
        <f>IF($C$4&gt;11,$E$5+12,"")</f>
        <v/>
      </c>
      <c r="L17" s="107" t="str">
        <f t="shared" si="6"/>
        <v/>
      </c>
      <c r="M17" s="103" t="str">
        <f t="shared" ref="M17" si="15">IF(OR(L16="",L16=0),"",IF(P17&gt;$C$18,IF(P16&gt;$C$18,M16,L17*P17),IF(AND(K17="",K18="",K19=""),"",IF(K18&lt;&gt;"",L17*$C$18,FALSE))))</f>
        <v/>
      </c>
      <c r="N17" s="104" t="str">
        <f t="shared" si="7"/>
        <v/>
      </c>
      <c r="O17" s="105" t="str">
        <f t="shared" si="14"/>
        <v/>
      </c>
      <c r="P17" s="108" t="str">
        <f>IF(OR(P16=100%,P16=""),"",1/($C$4-12))</f>
        <v/>
      </c>
      <c r="Q17" s="109" t="str">
        <f t="shared" si="5"/>
        <v/>
      </c>
    </row>
    <row r="18" spans="1:19" ht="15.75" thickBot="1">
      <c r="A18" s="14"/>
      <c r="B18" s="8" t="s">
        <v>39</v>
      </c>
      <c r="C18" s="57">
        <f>C16*C17/100</f>
        <v>0.58333333333333337</v>
      </c>
      <c r="D18" s="14"/>
      <c r="E18" s="28"/>
      <c r="F18" s="29"/>
      <c r="G18" s="30"/>
      <c r="H18" s="31"/>
      <c r="I18" s="32"/>
      <c r="J18" s="14"/>
      <c r="K18" s="111"/>
      <c r="L18" s="112"/>
      <c r="M18" s="113"/>
      <c r="N18" s="114"/>
      <c r="O18" s="115"/>
      <c r="P18" s="116"/>
      <c r="Q18" s="117"/>
    </row>
    <row r="19" spans="1: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9" ht="19.5" thickBot="1">
      <c r="A20" s="14"/>
      <c r="B20" s="14"/>
      <c r="C20" s="39" t="s">
        <v>10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9" ht="63.75" customHeight="1" thickBot="1">
      <c r="A21" s="14"/>
      <c r="B21" s="14"/>
      <c r="C21" s="47">
        <v>681</v>
      </c>
      <c r="D21" s="50"/>
      <c r="E21" s="186" t="s">
        <v>45</v>
      </c>
      <c r="F21" s="187"/>
      <c r="G21" s="188"/>
      <c r="H21" s="48">
        <f>LOOKUP($C$8,$E$5:$E$18,$G$5:$G$18)</f>
        <v>4000</v>
      </c>
      <c r="I21" s="14"/>
      <c r="J21" s="14"/>
      <c r="K21" s="14"/>
      <c r="L21" s="16"/>
      <c r="M21" s="16"/>
      <c r="N21" s="16"/>
      <c r="O21" s="16"/>
      <c r="P21" s="16"/>
      <c r="S21"/>
    </row>
    <row r="22" spans="1:19" s="14" customFormat="1" ht="65.25" customHeight="1" thickBot="1">
      <c r="C22" s="51"/>
      <c r="D22" s="60">
        <f>LOOKUP("X",'1-1) Type amortissement'!B5:B17,'1-1) Type amortissement'!D5:D17)</f>
        <v>2818</v>
      </c>
      <c r="E22" s="65"/>
      <c r="F22" s="184" t="str">
        <f>LOOKUP("X",'1-1) Type amortissement'!B5:B17,'1-1) Type amortissement'!E5:E17)</f>
        <v>Autres immobilisations corporelles</v>
      </c>
      <c r="G22" s="185"/>
      <c r="H22" s="61"/>
      <c r="I22" s="48">
        <f>LOOKUP($C$8,$E$5:$E$18,$G$5:$G$18)</f>
        <v>4000</v>
      </c>
      <c r="L22" s="16"/>
      <c r="M22" s="33"/>
      <c r="N22" s="33"/>
      <c r="O22" s="33"/>
      <c r="P22" s="16"/>
      <c r="S22"/>
    </row>
    <row r="23" spans="1:19" s="14" customFormat="1" ht="42" customHeight="1" thickBot="1">
      <c r="C23" s="58">
        <f>IF(LOOKUP($C$8,K5:K17,Q5:Q17)&gt;0,687,145)</f>
        <v>145</v>
      </c>
      <c r="D23" s="63"/>
      <c r="E23" s="186" t="str">
        <f>IF(C23=145,"Amortissements dérogatoires","Dotations aux amortissements et aux provisions - Charges exceptionnelles")</f>
        <v>Amortissements dérogatoires</v>
      </c>
      <c r="F23" s="187"/>
      <c r="G23" s="188"/>
      <c r="H23" s="59">
        <f>IF(LOOKUP($C$8,K5:K17,Q5:Q17)&gt;0,LOOKUP($C$8,K5:K17,Q5:Q17),-LOOKUP($C$8,K5:K17,Q5:Q17))</f>
        <v>458.33333333333394</v>
      </c>
      <c r="I23" s="56"/>
      <c r="L23" s="16"/>
      <c r="M23" s="33"/>
      <c r="N23" s="33"/>
      <c r="O23" s="33"/>
      <c r="P23" s="16"/>
      <c r="S23"/>
    </row>
    <row r="24" spans="1:19" s="14" customFormat="1" ht="27.75" customHeight="1" thickBot="1">
      <c r="D24" s="64">
        <f>IF(LOOKUP(C8,K5:K17,Q5:Q17)&gt;0,145,787)</f>
        <v>787</v>
      </c>
      <c r="E24" s="66"/>
      <c r="F24" s="187" t="str">
        <f>IF(D24=787,"Reprises sur provisions","Amortissements dérogatoires")</f>
        <v>Reprises sur provisions</v>
      </c>
      <c r="G24" s="188"/>
      <c r="H24" s="62"/>
      <c r="I24" s="180">
        <f>IF(LOOKUP($C$8,K5:K17,Q5:Q17)&gt;0,LOOKUP($C$8,K5:K17,Q5:Q17),-LOOKUP($C$8,K5:K17,Q5:Q17))</f>
        <v>458.33333333333394</v>
      </c>
      <c r="L24" s="16"/>
      <c r="M24" s="33"/>
      <c r="N24" s="33"/>
      <c r="O24" s="33"/>
      <c r="P24" s="16"/>
      <c r="R24" s="56"/>
      <c r="S24"/>
    </row>
    <row r="25" spans="1:19" s="14" customFormat="1">
      <c r="E25" s="67"/>
      <c r="F25" s="67"/>
      <c r="G25" s="67"/>
      <c r="L25" s="16"/>
      <c r="M25" s="33"/>
      <c r="N25" s="33"/>
      <c r="O25" s="33"/>
      <c r="P25" s="16"/>
      <c r="S25"/>
    </row>
    <row r="26" spans="1:19" s="14" customFormat="1">
      <c r="E26" s="67"/>
      <c r="F26" s="67"/>
      <c r="G26" s="67"/>
      <c r="L26" s="16"/>
      <c r="M26" s="33"/>
      <c r="N26" s="33"/>
      <c r="O26" s="33"/>
      <c r="P26" s="16"/>
      <c r="S26"/>
    </row>
    <row r="27" spans="1:19" s="14" customFormat="1">
      <c r="L27" s="16"/>
      <c r="M27" s="33"/>
      <c r="N27" s="33"/>
      <c r="O27" s="33"/>
      <c r="P27" s="16"/>
    </row>
    <row r="28" spans="1:19" s="14" customFormat="1">
      <c r="B28" s="179" t="s">
        <v>77</v>
      </c>
      <c r="L28" s="16"/>
      <c r="M28" s="33"/>
      <c r="N28" s="33"/>
      <c r="O28" s="33"/>
      <c r="P28" s="16"/>
    </row>
    <row r="29" spans="1:19" s="14" customFormat="1">
      <c r="L29" s="16"/>
      <c r="M29" s="33"/>
      <c r="N29" s="33"/>
      <c r="O29" s="33"/>
      <c r="P29" s="16"/>
      <c r="S29"/>
    </row>
    <row r="30" spans="1:19" s="14" customFormat="1">
      <c r="L30" s="16"/>
      <c r="M30" s="33"/>
      <c r="N30" s="33"/>
      <c r="O30" s="33"/>
      <c r="P30" s="16"/>
      <c r="S30"/>
    </row>
    <row r="31" spans="1:19" s="14" customFormat="1">
      <c r="B31" s="14" t="s">
        <v>79</v>
      </c>
    </row>
    <row r="32" spans="1:19" s="14" customFormat="1"/>
    <row r="33" spans="2:4" s="14" customFormat="1"/>
    <row r="34" spans="2:4" s="14" customFormat="1"/>
    <row r="38" spans="2:4">
      <c r="B38" s="164"/>
      <c r="C38" s="164"/>
      <c r="D38" s="164"/>
    </row>
    <row r="39" spans="2:4">
      <c r="B39" s="165"/>
    </row>
  </sheetData>
  <mergeCells count="4">
    <mergeCell ref="F22:G22"/>
    <mergeCell ref="E23:G23"/>
    <mergeCell ref="E21:G21"/>
    <mergeCell ref="F24:G24"/>
  </mergeCells>
  <conditionalFormatting sqref="G6:G17">
    <cfRule type="expression" dxfId="5" priority="6">
      <formula>AND($E6&lt;&gt;$C$8)</formula>
    </cfRule>
    <cfRule type="cellIs" dxfId="4" priority="7" operator="equal">
      <formula>$H$21</formula>
    </cfRule>
  </conditionalFormatting>
  <conditionalFormatting sqref="Q6:Q17">
    <cfRule type="expression" dxfId="3" priority="2">
      <formula>AND($K6&lt;&gt;$C$8)</formula>
    </cfRule>
    <cfRule type="cellIs" dxfId="2" priority="3" operator="equal">
      <formula>$H$23</formula>
    </cfRule>
  </conditionalFormatting>
  <conditionalFormatting sqref="Q5:Q18">
    <cfRule type="cellIs" dxfId="1" priority="1" operator="equal">
      <formula>-$H$23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0"/>
  <sheetViews>
    <sheetView workbookViewId="0">
      <selection activeCell="C17" sqref="C17"/>
    </sheetView>
  </sheetViews>
  <sheetFormatPr baseColWidth="10" defaultRowHeight="15"/>
  <cols>
    <col min="3" max="4" width="10.85546875" bestFit="1" customWidth="1"/>
    <col min="5" max="5" width="9.7109375" customWidth="1"/>
  </cols>
  <sheetData>
    <row r="1" spans="2:7" ht="15.75" thickBot="1"/>
    <row r="2" spans="2:7" ht="16.5" thickBot="1">
      <c r="B2" s="68"/>
      <c r="C2" s="75" t="s">
        <v>72</v>
      </c>
      <c r="D2" s="76" t="s">
        <v>70</v>
      </c>
      <c r="E2" s="77" t="s">
        <v>71</v>
      </c>
    </row>
    <row r="3" spans="2:7">
      <c r="B3" s="78">
        <v>1995</v>
      </c>
      <c r="C3" s="69">
        <v>1.5</v>
      </c>
      <c r="D3" s="70">
        <v>2</v>
      </c>
      <c r="E3" s="71">
        <v>2.5</v>
      </c>
    </row>
    <row r="4" spans="2:7">
      <c r="B4" s="79">
        <v>1996</v>
      </c>
      <c r="C4" s="72">
        <v>1.5</v>
      </c>
      <c r="D4" s="73">
        <v>2</v>
      </c>
      <c r="E4" s="74">
        <v>2.5</v>
      </c>
    </row>
    <row r="5" spans="2:7">
      <c r="B5" s="79">
        <v>1997</v>
      </c>
      <c r="C5" s="72">
        <v>1.5</v>
      </c>
      <c r="D5" s="73">
        <v>2</v>
      </c>
      <c r="E5" s="74">
        <v>2.5</v>
      </c>
    </row>
    <row r="6" spans="2:7">
      <c r="B6" s="79">
        <v>1998</v>
      </c>
      <c r="C6" s="72">
        <v>1.5</v>
      </c>
      <c r="D6" s="73">
        <v>2</v>
      </c>
      <c r="E6" s="74">
        <v>2.5</v>
      </c>
    </row>
    <row r="7" spans="2:7">
      <c r="B7" s="79">
        <v>1999</v>
      </c>
      <c r="C7" s="72">
        <v>1.5</v>
      </c>
      <c r="D7" s="73">
        <v>2</v>
      </c>
      <c r="E7" s="74">
        <v>2.5</v>
      </c>
    </row>
    <row r="8" spans="2:7">
      <c r="B8" s="79">
        <v>2000</v>
      </c>
      <c r="C8" s="72">
        <v>1.5</v>
      </c>
      <c r="D8" s="73">
        <v>2</v>
      </c>
      <c r="E8" s="74">
        <v>2.5</v>
      </c>
    </row>
    <row r="9" spans="2:7">
      <c r="B9" s="79">
        <v>2001</v>
      </c>
      <c r="C9" s="72">
        <v>1.25</v>
      </c>
      <c r="D9" s="73">
        <v>1.75</v>
      </c>
      <c r="E9" s="74">
        <v>2.25</v>
      </c>
    </row>
    <row r="10" spans="2:7">
      <c r="B10" s="79">
        <v>2002</v>
      </c>
      <c r="C10" s="72">
        <v>1.25</v>
      </c>
      <c r="D10" s="73">
        <v>1.75</v>
      </c>
      <c r="E10" s="74">
        <v>2.25</v>
      </c>
    </row>
    <row r="11" spans="2:7">
      <c r="B11" s="79">
        <v>2003</v>
      </c>
      <c r="C11" s="72">
        <v>1.25</v>
      </c>
      <c r="D11" s="73">
        <v>1.75</v>
      </c>
      <c r="E11" s="74">
        <v>2.25</v>
      </c>
    </row>
    <row r="12" spans="2:7">
      <c r="B12" s="79">
        <v>2004</v>
      </c>
      <c r="C12" s="72">
        <v>1.25</v>
      </c>
      <c r="D12" s="73">
        <v>1.75</v>
      </c>
      <c r="E12" s="74">
        <v>2.25</v>
      </c>
    </row>
    <row r="13" spans="2:7">
      <c r="B13" s="79">
        <v>2005</v>
      </c>
      <c r="C13" s="72">
        <v>1.25</v>
      </c>
      <c r="D13" s="73">
        <v>1.75</v>
      </c>
      <c r="E13" s="74">
        <v>2.25</v>
      </c>
    </row>
    <row r="14" spans="2:7">
      <c r="B14" s="79">
        <v>2006</v>
      </c>
      <c r="C14" s="72">
        <v>1.25</v>
      </c>
      <c r="D14" s="73">
        <v>1.75</v>
      </c>
      <c r="E14" s="74">
        <v>2.25</v>
      </c>
    </row>
    <row r="15" spans="2:7">
      <c r="B15" s="79">
        <v>2007</v>
      </c>
      <c r="C15" s="72">
        <v>1.25</v>
      </c>
      <c r="D15" s="73">
        <v>1.75</v>
      </c>
      <c r="E15" s="74">
        <v>2.25</v>
      </c>
    </row>
    <row r="16" spans="2:7">
      <c r="B16" s="79">
        <v>2008</v>
      </c>
      <c r="C16" s="72">
        <v>1.25</v>
      </c>
      <c r="D16" s="73">
        <v>1.75</v>
      </c>
      <c r="E16" s="74">
        <v>2.25</v>
      </c>
      <c r="G16" s="164" t="s">
        <v>75</v>
      </c>
    </row>
    <row r="17" spans="2:8" ht="15.75" thickBot="1">
      <c r="B17" s="80">
        <v>2009</v>
      </c>
      <c r="C17" s="72">
        <v>1.25</v>
      </c>
      <c r="D17" s="73">
        <v>1.75</v>
      </c>
      <c r="E17" s="74">
        <v>2.25</v>
      </c>
      <c r="H17" s="164" t="s">
        <v>76</v>
      </c>
    </row>
    <row r="20" spans="2:8">
      <c r="B20" s="16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Q28"/>
  <sheetViews>
    <sheetView topLeftCell="C1" zoomScale="71" zoomScaleNormal="71" workbookViewId="0">
      <selection activeCell="F4" sqref="F4"/>
    </sheetView>
  </sheetViews>
  <sheetFormatPr baseColWidth="10" defaultRowHeight="15"/>
  <cols>
    <col min="2" max="2" width="2.85546875" customWidth="1"/>
    <col min="3" max="3" width="10.42578125" bestFit="1" customWidth="1"/>
    <col min="4" max="4" width="25.5703125" bestFit="1" customWidth="1"/>
    <col min="5" max="5" width="20.42578125" bestFit="1" customWidth="1"/>
    <col min="6" max="6" width="23.7109375" bestFit="1" customWidth="1"/>
    <col min="7" max="7" width="24.140625" customWidth="1"/>
  </cols>
  <sheetData>
    <row r="1" spans="2:17" ht="15.75" thickBot="1"/>
    <row r="2" spans="2:17" ht="27.75" customHeight="1">
      <c r="C2" s="93" t="s">
        <v>46</v>
      </c>
      <c r="D2" s="95" t="s">
        <v>80</v>
      </c>
      <c r="E2" s="95" t="s">
        <v>51</v>
      </c>
      <c r="F2" s="95" t="s">
        <v>73</v>
      </c>
      <c r="G2" s="95" t="s">
        <v>52</v>
      </c>
    </row>
    <row r="3" spans="2:17" ht="30.75" customHeight="1" thickBot="1">
      <c r="C3" s="94">
        <v>120</v>
      </c>
      <c r="D3" s="96">
        <v>90</v>
      </c>
      <c r="E3" s="97">
        <v>1</v>
      </c>
      <c r="F3" s="171">
        <v>10</v>
      </c>
      <c r="G3" s="171">
        <f>D3*E3+F3</f>
        <v>100</v>
      </c>
    </row>
    <row r="5" spans="2:17" ht="18.75">
      <c r="C5" s="13" t="s">
        <v>47</v>
      </c>
    </row>
    <row r="6" spans="2:17" ht="15.75" thickBot="1"/>
    <row r="7" spans="2:17" ht="15.75">
      <c r="B7" s="82" t="s">
        <v>28</v>
      </c>
      <c r="C7" s="189" t="s">
        <v>48</v>
      </c>
      <c r="D7" s="191"/>
      <c r="E7" s="191"/>
    </row>
    <row r="8" spans="2:17" ht="15.75">
      <c r="B8" s="83"/>
      <c r="C8" s="189" t="s">
        <v>49</v>
      </c>
      <c r="D8" s="190"/>
      <c r="E8" s="190"/>
    </row>
    <row r="9" spans="2:17" ht="15.75">
      <c r="B9" s="83"/>
      <c r="C9" s="189" t="s">
        <v>50</v>
      </c>
      <c r="D9" s="190"/>
      <c r="E9" s="190"/>
    </row>
    <row r="10" spans="2:17" ht="16.5" thickBot="1">
      <c r="B10" s="84"/>
      <c r="C10" s="189" t="s">
        <v>53</v>
      </c>
      <c r="D10" s="191"/>
      <c r="E10" s="191"/>
    </row>
    <row r="11" spans="2:17" ht="15.75" thickBot="1"/>
    <row r="12" spans="2:17" ht="19.5" thickBot="1">
      <c r="G12" s="88">
        <f>IF(OR(B7="X",B9="X"),491,IF(B8="X",681,IF(B10="X",416,"Aucun cas")))</f>
        <v>491</v>
      </c>
      <c r="H12" s="86"/>
      <c r="I12" s="91" t="str">
        <f>IF(OR(B7="X",B9="X"),"Provisions pour dépréciation des comptes de clients",IF(B8="X","Dotations aux amortissements et aux provisions - Charges d'exploitation",IF(B10="X","Clients douteux ou litigieux","Aucun cas")))</f>
        <v>Provisions pour dépréciation des comptes de clients</v>
      </c>
      <c r="J12" s="91"/>
      <c r="K12" s="91"/>
      <c r="L12" s="91"/>
      <c r="M12" s="91"/>
      <c r="N12" s="91"/>
      <c r="O12" s="91"/>
      <c r="P12" s="90">
        <f>IF(OR(B7="X",B9="X"),G3,IF(B8="X",G3,IF(B10="X",C3,"Aucun cas")))</f>
        <v>100</v>
      </c>
      <c r="Q12" s="85"/>
    </row>
    <row r="13" spans="2:17" ht="19.5" thickBot="1">
      <c r="G13" s="81"/>
      <c r="H13" s="98">
        <f>IF(OR(B7="X",B9="X"),781,IF(B8="X",491,IF(B10="X",411,"Aucun cas")))</f>
        <v>781</v>
      </c>
      <c r="I13" s="91"/>
      <c r="J13" s="91" t="str">
        <f>IF(OR(B7="X",B9="X"),"Reprises sur amortissements et provisions",IF(B8="X","Provisions pour dépréciation des comptes de clients",IF(B10="X","Clients","Aucun cas")))</f>
        <v>Reprises sur amortissements et provisions</v>
      </c>
      <c r="K13" s="91"/>
      <c r="L13" s="91"/>
      <c r="M13" s="91"/>
      <c r="N13" s="91"/>
      <c r="O13" s="91"/>
      <c r="P13" s="99"/>
      <c r="Q13" s="89">
        <f>IF(OR(B7="X",B9="X"),G3,IF(B8="X",G3,IF(B10="X",C3,"Aucun cas")))</f>
        <v>100</v>
      </c>
    </row>
    <row r="14" spans="2:17" ht="19.5" thickBot="1">
      <c r="G14" s="100" t="str">
        <f>IF(OR(B7="X",B8="X"),"",IF(B9="X",654,IF(B10="X",681,"Aucun cas")))</f>
        <v/>
      </c>
      <c r="H14" s="101"/>
      <c r="I14" s="91" t="str">
        <f>IF(OR(B7="X",B8="X"),"",IF(B9="X","Pertes sur créances irrécouvrables",IF(B10="X","Dotations aux amortissements et aux provisions - Charges d'exploitation","Aucun cas")))</f>
        <v/>
      </c>
      <c r="J14" s="91"/>
      <c r="K14" s="91"/>
      <c r="L14" s="91"/>
      <c r="M14" s="91"/>
      <c r="N14" s="91"/>
      <c r="O14" s="91"/>
      <c r="P14" s="90" t="str">
        <f>IF(OR(B7="X",B8="X"),"",IF(B9="X",C3,IF(B10="X",G3,"Aucun cas")))</f>
        <v/>
      </c>
    </row>
    <row r="15" spans="2:17" ht="19.5" thickBot="1">
      <c r="D15" s="164" t="s">
        <v>81</v>
      </c>
      <c r="H15" s="87" t="str">
        <f>IF(OR(B7="X",B8="X"),"",IF(B9="X",416,IF(B10="X",491,"Aucun cas")))</f>
        <v/>
      </c>
      <c r="I15" s="92"/>
      <c r="J15" s="92" t="str">
        <f>IF(OR(B7="X",B8="X"),"",IF(B9="X","Clients douteux ou litigieux",IF(B10="X","Provisions pour dépréciation des comptes de clients","Aucun cas")))</f>
        <v/>
      </c>
      <c r="K15" s="92"/>
      <c r="L15" s="92"/>
      <c r="M15" s="92"/>
      <c r="N15" s="92"/>
      <c r="O15" s="92"/>
      <c r="P15" s="102"/>
      <c r="Q15" s="89" t="str">
        <f>IF(OR(B7="X",B8="X"),"",IF(B9="X",C3,IF(B10="X",G3,"Aucun cas")))</f>
        <v/>
      </c>
    </row>
    <row r="18" spans="3:11">
      <c r="C18" s="170"/>
      <c r="D18" s="170"/>
      <c r="E18" s="170"/>
      <c r="F18" s="170"/>
      <c r="G18" s="170"/>
      <c r="H18" s="170"/>
      <c r="I18" s="170"/>
      <c r="J18" s="170"/>
    </row>
    <row r="19" spans="3:11">
      <c r="C19" s="170"/>
      <c r="D19" s="172" t="s">
        <v>74</v>
      </c>
      <c r="E19" s="173"/>
      <c r="F19" s="174"/>
      <c r="G19" s="174"/>
      <c r="H19" s="166"/>
      <c r="I19" s="167"/>
      <c r="J19" s="170"/>
      <c r="K19" s="167"/>
    </row>
    <row r="20" spans="3:11">
      <c r="C20" s="170"/>
      <c r="D20" s="175"/>
      <c r="E20" s="175"/>
      <c r="F20" s="176"/>
      <c r="G20" s="175"/>
      <c r="H20" s="169"/>
      <c r="I20" s="170"/>
      <c r="J20" s="170"/>
      <c r="K20" s="167"/>
    </row>
    <row r="21" spans="3:11">
      <c r="C21" s="170"/>
      <c r="D21" s="175"/>
      <c r="E21" s="175"/>
      <c r="F21" s="176"/>
      <c r="G21" s="175"/>
      <c r="H21" s="169"/>
      <c r="I21" s="170"/>
      <c r="J21" s="170"/>
      <c r="K21" s="167"/>
    </row>
    <row r="22" spans="3:11">
      <c r="C22" s="170"/>
      <c r="D22" s="175">
        <v>681</v>
      </c>
      <c r="E22" s="175"/>
      <c r="F22" s="177">
        <f>F3</f>
        <v>10</v>
      </c>
      <c r="G22" s="175"/>
      <c r="H22" s="169"/>
      <c r="I22" s="170"/>
      <c r="J22" s="170"/>
    </row>
    <row r="23" spans="3:11">
      <c r="C23" s="170"/>
      <c r="D23" s="172"/>
      <c r="E23" s="175">
        <v>491</v>
      </c>
      <c r="F23" s="172"/>
      <c r="G23" s="178">
        <f>F3</f>
        <v>10</v>
      </c>
      <c r="H23" s="169"/>
      <c r="I23" s="170"/>
      <c r="J23" s="170"/>
    </row>
    <row r="24" spans="3:11">
      <c r="C24" s="170"/>
      <c r="D24" s="168"/>
      <c r="E24" s="169"/>
      <c r="F24" s="170"/>
      <c r="G24" s="169"/>
      <c r="H24" s="169"/>
      <c r="I24" s="170"/>
      <c r="J24" s="170"/>
    </row>
    <row r="25" spans="3:11">
      <c r="C25" s="170"/>
      <c r="D25" s="169"/>
      <c r="E25" s="169"/>
      <c r="F25" s="170"/>
      <c r="G25" s="169"/>
      <c r="H25" s="169"/>
      <c r="I25" s="170"/>
      <c r="J25" s="170"/>
    </row>
    <row r="26" spans="3:11">
      <c r="C26" s="170"/>
      <c r="D26" s="170"/>
      <c r="E26" s="170"/>
      <c r="F26" s="170"/>
      <c r="G26" s="170"/>
      <c r="H26" s="170"/>
      <c r="I26" s="170"/>
      <c r="J26" s="170"/>
    </row>
    <row r="27" spans="3:11">
      <c r="C27" s="170"/>
      <c r="D27" s="170"/>
      <c r="E27" s="170"/>
      <c r="F27" s="170"/>
      <c r="G27" s="170"/>
      <c r="H27" s="170"/>
      <c r="I27" s="170"/>
      <c r="J27" s="170"/>
    </row>
    <row r="28" spans="3:11">
      <c r="C28" s="170"/>
      <c r="D28" s="170"/>
      <c r="E28" s="170"/>
      <c r="F28" s="170"/>
      <c r="G28" s="170"/>
      <c r="H28" s="170"/>
      <c r="I28" s="170"/>
      <c r="J28" s="170"/>
    </row>
  </sheetData>
  <mergeCells count="4">
    <mergeCell ref="C8:E8"/>
    <mergeCell ref="C7:E7"/>
    <mergeCell ref="C9:E9"/>
    <mergeCell ref="C10:E10"/>
  </mergeCells>
  <conditionalFormatting sqref="C7:C10 D7 D10">
    <cfRule type="expression" dxfId="0" priority="1">
      <formula>AND($B7="X")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O24"/>
  <sheetViews>
    <sheetView tabSelected="1" topLeftCell="F1" zoomScale="82" zoomScaleNormal="82" workbookViewId="0">
      <selection activeCell="C10" sqref="C10"/>
    </sheetView>
  </sheetViews>
  <sheetFormatPr baseColWidth="10" defaultRowHeight="15"/>
  <cols>
    <col min="1" max="1" width="3.7109375" customWidth="1"/>
    <col min="2" max="2" width="3.28515625" customWidth="1"/>
    <col min="4" max="4" width="66.5703125" customWidth="1"/>
    <col min="5" max="6" width="16.28515625" customWidth="1"/>
    <col min="13" max="13" width="20.85546875" customWidth="1"/>
  </cols>
  <sheetData>
    <row r="2" spans="2:15" ht="15.75" thickBot="1"/>
    <row r="3" spans="2:15" ht="32.25" thickBot="1">
      <c r="C3" s="129"/>
      <c r="D3" s="129"/>
      <c r="E3" s="130" t="s">
        <v>57</v>
      </c>
      <c r="F3" s="131" t="s">
        <v>56</v>
      </c>
    </row>
    <row r="4" spans="2:15" ht="20.100000000000001" customHeight="1">
      <c r="C4" s="136">
        <v>31</v>
      </c>
      <c r="D4" s="139" t="s">
        <v>54</v>
      </c>
      <c r="E4" s="132">
        <v>10000</v>
      </c>
      <c r="F4" s="134">
        <v>12000</v>
      </c>
    </row>
    <row r="5" spans="2:15" ht="20.100000000000001" customHeight="1">
      <c r="C5" s="137">
        <v>35</v>
      </c>
      <c r="D5" s="140" t="s">
        <v>55</v>
      </c>
      <c r="E5" s="132">
        <v>24000</v>
      </c>
      <c r="F5" s="134">
        <v>25000</v>
      </c>
    </row>
    <row r="6" spans="2:15" ht="20.100000000000001" customHeight="1" thickBot="1">
      <c r="C6" s="138">
        <f>IF(B12="X",391,IF(B13="X",392,IF(B14="X",393,IF(B15="X",394,IF(B16="X",395,IF(B17="X",397," "))))))</f>
        <v>391</v>
      </c>
      <c r="D6" s="141" t="str">
        <f>IF(B12="X",C12,IF(B13="X",C13,IF(B14="X",C14,IF(B15="X",C15,IF(B16="X",C16,IF(B17="X",C17," "))))))</f>
        <v>Dépréciation des matières premières</v>
      </c>
      <c r="E6" s="133">
        <v>400</v>
      </c>
      <c r="F6" s="135">
        <v>600</v>
      </c>
    </row>
    <row r="7" spans="2:15">
      <c r="C7" s="128"/>
      <c r="D7" s="128"/>
      <c r="E7" s="128"/>
      <c r="F7" s="128"/>
    </row>
    <row r="8" spans="2:15" ht="15.75" thickBot="1"/>
    <row r="9" spans="2:15" ht="16.5" thickBot="1">
      <c r="G9" s="146">
        <v>6031</v>
      </c>
      <c r="H9" s="147"/>
      <c r="I9" s="195" t="s">
        <v>59</v>
      </c>
      <c r="J9" s="196"/>
      <c r="K9" s="196"/>
      <c r="L9" s="196"/>
      <c r="M9" s="154"/>
      <c r="N9" s="149">
        <f>F4</f>
        <v>12000</v>
      </c>
      <c r="O9" s="142"/>
    </row>
    <row r="10" spans="2:15" ht="16.5" thickBot="1">
      <c r="G10" s="142"/>
      <c r="H10" s="145">
        <v>31</v>
      </c>
      <c r="I10" s="155"/>
      <c r="J10" s="192" t="s">
        <v>58</v>
      </c>
      <c r="K10" s="192"/>
      <c r="L10" s="192"/>
      <c r="M10" s="193"/>
      <c r="N10" s="150"/>
      <c r="O10" s="149">
        <f>F4</f>
        <v>12000</v>
      </c>
    </row>
    <row r="11" spans="2:15" ht="16.5" thickBot="1">
      <c r="G11" s="146">
        <v>31</v>
      </c>
      <c r="H11" s="148"/>
      <c r="I11" s="194" t="s">
        <v>58</v>
      </c>
      <c r="J11" s="192"/>
      <c r="K11" s="192"/>
      <c r="L11" s="192"/>
      <c r="M11" s="158"/>
      <c r="N11" s="151">
        <f>E4</f>
        <v>10000</v>
      </c>
      <c r="O11" s="142"/>
    </row>
    <row r="12" spans="2:15" ht="16.5" thickBot="1">
      <c r="B12" s="160" t="s">
        <v>28</v>
      </c>
      <c r="C12" t="s">
        <v>64</v>
      </c>
      <c r="G12" s="142"/>
      <c r="H12" s="145">
        <v>6031</v>
      </c>
      <c r="I12" s="155"/>
      <c r="J12" s="192" t="s">
        <v>59</v>
      </c>
      <c r="K12" s="192"/>
      <c r="L12" s="192"/>
      <c r="M12" s="193"/>
      <c r="N12" s="150"/>
      <c r="O12" s="149">
        <f>E4</f>
        <v>10000</v>
      </c>
    </row>
    <row r="13" spans="2:15" ht="16.5" thickBot="1">
      <c r="B13" s="159"/>
      <c r="C13" t="s">
        <v>65</v>
      </c>
    </row>
    <row r="14" spans="2:15" ht="16.5" thickBot="1">
      <c r="B14" s="161"/>
      <c r="C14" t="s">
        <v>66</v>
      </c>
    </row>
    <row r="15" spans="2:15" ht="16.5" thickBot="1">
      <c r="B15" s="159"/>
      <c r="C15" t="s">
        <v>67</v>
      </c>
      <c r="G15" s="146">
        <v>7135</v>
      </c>
      <c r="H15" s="147"/>
      <c r="I15" s="195" t="s">
        <v>60</v>
      </c>
      <c r="J15" s="196"/>
      <c r="K15" s="196"/>
      <c r="L15" s="196"/>
      <c r="M15" s="154"/>
      <c r="N15" s="149">
        <f>F5</f>
        <v>25000</v>
      </c>
      <c r="O15" s="142"/>
    </row>
    <row r="16" spans="2:15" ht="16.5" thickBot="1">
      <c r="B16" s="159"/>
      <c r="C16" t="s">
        <v>68</v>
      </c>
      <c r="G16" s="142"/>
      <c r="H16" s="145">
        <v>35</v>
      </c>
      <c r="I16" s="155"/>
      <c r="J16" s="192" t="s">
        <v>61</v>
      </c>
      <c r="K16" s="192"/>
      <c r="L16" s="192"/>
      <c r="M16" s="193"/>
      <c r="N16" s="150"/>
      <c r="O16" s="149">
        <f>F5</f>
        <v>25000</v>
      </c>
    </row>
    <row r="17" spans="2:15" ht="16.5" thickBot="1">
      <c r="B17" s="162"/>
      <c r="C17" t="s">
        <v>69</v>
      </c>
      <c r="G17" s="146">
        <v>35</v>
      </c>
      <c r="H17" s="143"/>
      <c r="I17" s="197" t="s">
        <v>61</v>
      </c>
      <c r="J17" s="198"/>
      <c r="K17" s="198"/>
      <c r="L17" s="198"/>
      <c r="M17" s="156"/>
      <c r="N17" s="152">
        <f>E5</f>
        <v>24000</v>
      </c>
      <c r="O17" s="142"/>
    </row>
    <row r="18" spans="2:15" ht="16.5" thickBot="1">
      <c r="G18" s="142"/>
      <c r="H18" s="144">
        <v>7135</v>
      </c>
      <c r="I18" s="157"/>
      <c r="J18" s="196" t="s">
        <v>60</v>
      </c>
      <c r="K18" s="196"/>
      <c r="L18" s="196"/>
      <c r="M18" s="199"/>
      <c r="N18" s="153"/>
      <c r="O18" s="149">
        <f>E5</f>
        <v>24000</v>
      </c>
    </row>
    <row r="20" spans="2:15" ht="15.75" thickBot="1"/>
    <row r="21" spans="2:15" ht="16.5" thickBot="1">
      <c r="G21" s="146">
        <f>C6</f>
        <v>391</v>
      </c>
      <c r="H21" s="147"/>
      <c r="I21" s="195" t="s">
        <v>62</v>
      </c>
      <c r="J21" s="196"/>
      <c r="K21" s="196"/>
      <c r="L21" s="196"/>
      <c r="M21" s="199"/>
      <c r="N21" s="149">
        <f>F6</f>
        <v>600</v>
      </c>
      <c r="O21" s="142"/>
    </row>
    <row r="22" spans="2:15" ht="16.5" thickBot="1">
      <c r="G22" s="142"/>
      <c r="H22" s="145">
        <v>781</v>
      </c>
      <c r="I22" s="155"/>
      <c r="J22" s="192" t="s">
        <v>63</v>
      </c>
      <c r="K22" s="192"/>
      <c r="L22" s="192"/>
      <c r="M22" s="193"/>
      <c r="N22" s="150"/>
      <c r="O22" s="149">
        <f>F6</f>
        <v>600</v>
      </c>
    </row>
    <row r="23" spans="2:15" ht="16.5" thickBot="1">
      <c r="G23" s="146">
        <v>681</v>
      </c>
      <c r="H23" s="143"/>
      <c r="I23" s="197" t="s">
        <v>11</v>
      </c>
      <c r="J23" s="198"/>
      <c r="K23" s="198"/>
      <c r="L23" s="198"/>
      <c r="M23" s="156"/>
      <c r="N23" s="152">
        <f>E6</f>
        <v>400</v>
      </c>
      <c r="O23" s="142"/>
    </row>
    <row r="24" spans="2:15" ht="16.5" thickBot="1">
      <c r="G24" s="142"/>
      <c r="H24" s="144">
        <f>C6</f>
        <v>391</v>
      </c>
      <c r="I24" s="157"/>
      <c r="J24" s="196" t="str">
        <f>I21</f>
        <v>Provisions pour dépréciation des matières premières et fourniture</v>
      </c>
      <c r="K24" s="196"/>
      <c r="L24" s="196"/>
      <c r="M24" s="199"/>
      <c r="N24" s="153"/>
      <c r="O24" s="149">
        <f>E6</f>
        <v>400</v>
      </c>
    </row>
  </sheetData>
  <mergeCells count="12">
    <mergeCell ref="I17:L17"/>
    <mergeCell ref="J18:M18"/>
    <mergeCell ref="J22:M22"/>
    <mergeCell ref="I23:L23"/>
    <mergeCell ref="J24:M24"/>
    <mergeCell ref="I21:M21"/>
    <mergeCell ref="J16:M16"/>
    <mergeCell ref="J12:M12"/>
    <mergeCell ref="I11:L11"/>
    <mergeCell ref="J10:M10"/>
    <mergeCell ref="I9:L9"/>
    <mergeCell ref="I15:L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1-1) Type amortissement</vt:lpstr>
      <vt:lpstr>1-2) Tableau linéaire</vt:lpstr>
      <vt:lpstr>1-3) Tableau Fiscal degressif</vt:lpstr>
      <vt:lpstr>1-annexe)Tableau de coefficient</vt:lpstr>
      <vt:lpstr>2) Client douteux</vt:lpstr>
      <vt:lpstr>3)Stocks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</dc:creator>
  <cp:lastModifiedBy>PATXI</cp:lastModifiedBy>
  <dcterms:created xsi:type="dcterms:W3CDTF">2010-01-06T17:24:35Z</dcterms:created>
  <dcterms:modified xsi:type="dcterms:W3CDTF">2011-01-17T12:33:01Z</dcterms:modified>
</cp:coreProperties>
</file>