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0395" windowHeight="8955" activeTab="6"/>
  </bookViews>
  <sheets>
    <sheet name="Page de garde" sheetId="1" r:id="rId1"/>
    <sheet name="Balance &lt;inventaire" sheetId="6" r:id="rId2"/>
    <sheet name="amortissements" sheetId="2" r:id="rId3"/>
    <sheet name="stocks" sheetId="3" r:id="rId4"/>
    <sheet name="REGUL" sheetId="4" r:id="rId5"/>
    <sheet name="clients" sheetId="5" r:id="rId6"/>
    <sheet name="Bilan cr" sheetId="7" r:id="rId7"/>
  </sheets>
  <calcPr calcId="125725"/>
</workbook>
</file>

<file path=xl/calcChain.xml><?xml version="1.0" encoding="utf-8"?>
<calcChain xmlns="http://schemas.openxmlformats.org/spreadsheetml/2006/main">
  <c r="H72" i="6"/>
  <c r="G64"/>
  <c r="G63"/>
  <c r="G60"/>
  <c r="G52"/>
  <c r="G47"/>
  <c r="H31"/>
  <c r="G27"/>
  <c r="G29"/>
  <c r="H21"/>
  <c r="H20"/>
  <c r="H19"/>
  <c r="H18"/>
  <c r="H17"/>
  <c r="H7"/>
  <c r="F47" i="2"/>
  <c r="F46"/>
  <c r="F45"/>
  <c r="F44"/>
  <c r="F43"/>
  <c r="G12" i="7"/>
  <c r="G29"/>
  <c r="G28"/>
  <c r="G27"/>
  <c r="G26"/>
  <c r="G25"/>
  <c r="G24"/>
  <c r="D27"/>
  <c r="D29"/>
  <c r="D30"/>
  <c r="D31"/>
  <c r="D32"/>
  <c r="D33"/>
  <c r="D34"/>
  <c r="D35"/>
  <c r="D26"/>
  <c r="D24"/>
  <c r="G14"/>
  <c r="G15"/>
  <c r="G13"/>
  <c r="G11"/>
  <c r="G5"/>
  <c r="G4"/>
  <c r="G3"/>
  <c r="C9"/>
  <c r="B15"/>
  <c r="D15" s="1"/>
  <c r="B16"/>
  <c r="D16" s="1"/>
  <c r="B14"/>
  <c r="D14" s="1"/>
  <c r="B8"/>
  <c r="D8" s="1"/>
  <c r="B9"/>
  <c r="B4"/>
  <c r="B5"/>
  <c r="B6"/>
  <c r="B7"/>
  <c r="B3"/>
  <c r="C13"/>
  <c r="H67" i="6"/>
  <c r="D38" i="7"/>
  <c r="D37"/>
  <c r="D36"/>
  <c r="D28"/>
  <c r="D13" i="4"/>
  <c r="B17" i="7"/>
  <c r="D17" s="1"/>
  <c r="B13"/>
  <c r="H5" i="6"/>
  <c r="H6"/>
  <c r="H4"/>
  <c r="E14" i="4"/>
  <c r="D13" i="3"/>
  <c r="D17"/>
  <c r="D19"/>
  <c r="C20"/>
  <c r="C11" i="7"/>
  <c r="C18" i="3"/>
  <c r="C16"/>
  <c r="C14"/>
  <c r="D15" s="1"/>
  <c r="B12" i="7" s="1"/>
  <c r="D12" s="1"/>
  <c r="C12" i="3"/>
  <c r="C10"/>
  <c r="D11" s="1"/>
  <c r="K59" i="2"/>
  <c r="B61"/>
  <c r="C61" s="1"/>
  <c r="B62"/>
  <c r="C62" s="1"/>
  <c r="B63"/>
  <c r="B60"/>
  <c r="H60" s="1"/>
  <c r="I60" s="1"/>
  <c r="B53"/>
  <c r="C53" s="1"/>
  <c r="C6" i="7" s="1"/>
  <c r="D6" s="1"/>
  <c r="B54" i="2"/>
  <c r="C54" s="1"/>
  <c r="B55"/>
  <c r="C55" s="1"/>
  <c r="B56"/>
  <c r="C56" s="1"/>
  <c r="B57"/>
  <c r="B52"/>
  <c r="C52" s="1"/>
  <c r="D52" s="1"/>
  <c r="K51"/>
  <c r="B43"/>
  <c r="C43" s="1"/>
  <c r="B44"/>
  <c r="B45"/>
  <c r="C45" s="1"/>
  <c r="C5" i="7" s="1"/>
  <c r="D5" s="1"/>
  <c r="B46" i="2"/>
  <c r="B47"/>
  <c r="B48"/>
  <c r="H43"/>
  <c r="C60"/>
  <c r="D60" s="1"/>
  <c r="D21" i="3"/>
  <c r="K42" i="2"/>
  <c r="I43" s="1"/>
  <c r="J43" s="1"/>
  <c r="C46"/>
  <c r="C47"/>
  <c r="C44"/>
  <c r="C3" i="7"/>
  <c r="E74" i="6"/>
  <c r="F74"/>
  <c r="D74"/>
  <c r="E38"/>
  <c r="D38"/>
  <c r="F38"/>
  <c r="G30" i="7"/>
  <c r="D25"/>
  <c r="D13" l="1"/>
  <c r="D9"/>
  <c r="H52" i="2"/>
  <c r="I52" s="1"/>
  <c r="M52"/>
  <c r="J52"/>
  <c r="K52" s="1"/>
  <c r="H53" s="1"/>
  <c r="I53" s="1"/>
  <c r="M53" s="1"/>
  <c r="C63"/>
  <c r="C7" i="7"/>
  <c r="D7" s="1"/>
  <c r="D61" i="2"/>
  <c r="D62" s="1"/>
  <c r="D63" s="1"/>
  <c r="E63" s="1"/>
  <c r="E60"/>
  <c r="C57"/>
  <c r="K43"/>
  <c r="H44" s="1"/>
  <c r="I44" s="1"/>
  <c r="M44" s="1"/>
  <c r="C48"/>
  <c r="D43"/>
  <c r="M43"/>
  <c r="J60"/>
  <c r="M60"/>
  <c r="C4" i="7"/>
  <c r="D4" s="1"/>
  <c r="E52" i="2"/>
  <c r="D53"/>
  <c r="G38" i="6"/>
  <c r="B11" i="7"/>
  <c r="D3"/>
  <c r="E62" i="2" l="1"/>
  <c r="E61"/>
  <c r="C19" i="7"/>
  <c r="D39"/>
  <c r="J53" i="2"/>
  <c r="K60"/>
  <c r="H61" s="1"/>
  <c r="I61" s="1"/>
  <c r="M61" s="1"/>
  <c r="N61" s="1"/>
  <c r="D44"/>
  <c r="E43"/>
  <c r="B19" i="7"/>
  <c r="D11"/>
  <c r="E53" i="2"/>
  <c r="D54"/>
  <c r="K53"/>
  <c r="H54" s="1"/>
  <c r="I54" s="1"/>
  <c r="M54" s="1"/>
  <c r="D19" i="7"/>
  <c r="J44" i="2"/>
  <c r="D45" l="1"/>
  <c r="E44"/>
  <c r="J61"/>
  <c r="K44"/>
  <c r="H45" s="1"/>
  <c r="I45" s="1"/>
  <c r="M45" s="1"/>
  <c r="E54"/>
  <c r="D55"/>
  <c r="J54"/>
  <c r="E45" l="1"/>
  <c r="D46"/>
  <c r="K54"/>
  <c r="H55" s="1"/>
  <c r="I55" s="1"/>
  <c r="M55" s="1"/>
  <c r="E55"/>
  <c r="D56"/>
  <c r="K61"/>
  <c r="H62" s="1"/>
  <c r="I62" s="1"/>
  <c r="M62" s="1"/>
  <c r="J45"/>
  <c r="J62" l="1"/>
  <c r="K62" s="1"/>
  <c r="J55"/>
  <c r="K45"/>
  <c r="H46" s="1"/>
  <c r="I46" s="1"/>
  <c r="M46" s="1"/>
  <c r="D40" i="7"/>
  <c r="D43" s="1"/>
  <c r="G74" i="6"/>
  <c r="K55" i="2"/>
  <c r="H56" s="1"/>
  <c r="I56" s="1"/>
  <c r="M56" s="1"/>
  <c r="G31" i="7"/>
  <c r="G43" s="1"/>
  <c r="H74" i="6"/>
  <c r="D57" i="2"/>
  <c r="E57" s="1"/>
  <c r="E56"/>
  <c r="E46"/>
  <c r="D47"/>
  <c r="I74" i="6" l="1"/>
  <c r="G8" i="7"/>
  <c r="H38" i="6"/>
  <c r="I38" s="1"/>
  <c r="G6" i="7" s="1"/>
  <c r="D48" i="2"/>
  <c r="E48" s="1"/>
  <c r="E47"/>
  <c r="D44" i="7"/>
  <c r="J56" i="2"/>
  <c r="K56" s="1"/>
  <c r="J46"/>
  <c r="G19" i="7" l="1"/>
  <c r="K46" i="2"/>
  <c r="H47" s="1"/>
  <c r="I47" s="1"/>
  <c r="M47" s="1"/>
  <c r="J47" l="1"/>
  <c r="K47" s="1"/>
</calcChain>
</file>

<file path=xl/sharedStrings.xml><?xml version="1.0" encoding="utf-8"?>
<sst xmlns="http://schemas.openxmlformats.org/spreadsheetml/2006/main" count="208" uniqueCount="145">
  <si>
    <t>EXAMEN DE COMPTABILITE GENERALE</t>
  </si>
  <si>
    <t>NOM</t>
  </si>
  <si>
    <t>PRENOM</t>
  </si>
  <si>
    <t>SALLE D'EXAMEN</t>
  </si>
  <si>
    <t>: 2 heures 30 avec documents et ordinateur admis</t>
  </si>
  <si>
    <t>Durée</t>
  </si>
  <si>
    <t xml:space="preserve">On vous demande de passer les écritures en euros (sans tenir compte des centimes) que vous </t>
  </si>
  <si>
    <t xml:space="preserve"> Si le résultat de cet exercice dégage un bénéfice, quels conseils donneriez-vous au chef </t>
  </si>
  <si>
    <t xml:space="preserve">comptable ? </t>
  </si>
  <si>
    <t>JANVIER 2010</t>
  </si>
  <si>
    <t>Bon courage pour l’examen</t>
  </si>
  <si>
    <t xml:space="preserve">Bonne année 2010 </t>
  </si>
  <si>
    <t>Cette  société  fut créée le 1/07/2009.Vous trouverez sa balance avant inventaire en annexe.</t>
  </si>
  <si>
    <t>1. les amortissements</t>
  </si>
  <si>
    <t>Reconstituer les tableaux d’amortissement afin de passer les écritures comptables sachant que :</t>
  </si>
  <si>
    <t>l'entreprise</t>
  </si>
  <si>
    <t xml:space="preserve">L’amortissement est linéaire mais l’entreprise souhaite bénéficier de l’avantage </t>
  </si>
  <si>
    <t xml:space="preserve"> fiscal de l’amortissement dégressif</t>
  </si>
  <si>
    <t>L’amortissement est linéaire mais l’entreprise souhaite bénéficier de l’avantage</t>
  </si>
  <si>
    <t>Ne connaissant pas à ce jour le coefficient qui sera retenu pour l’année 2010,</t>
  </si>
  <si>
    <r>
      <t xml:space="preserve">       amortissement linéaire. Elle souhaite bénéficier de l’avantage fiscal du dégressi</t>
    </r>
    <r>
      <rPr>
        <sz val="12"/>
        <rFont val="Times New Roman"/>
        <family val="1"/>
      </rPr>
      <t>f</t>
    </r>
    <r>
      <rPr>
        <sz val="12"/>
        <color indexed="10"/>
        <rFont val="Times New Roman"/>
        <family val="1"/>
      </rPr>
      <t>.</t>
    </r>
  </si>
  <si>
    <r>
      <t xml:space="preserve">   L</t>
    </r>
    <r>
      <rPr>
        <b/>
        <sz val="12"/>
        <color indexed="8"/>
        <rFont val="Times New Roman"/>
        <family val="1"/>
      </rPr>
      <t>es frais d’établissements</t>
    </r>
    <r>
      <rPr>
        <sz val="12"/>
        <color indexed="8"/>
        <rFont val="Times New Roman"/>
        <family val="1"/>
      </rPr>
      <t xml:space="preserve"> sont amortis en linéaire sur 5 ans.</t>
    </r>
  </si>
  <si>
    <r>
      <rPr>
        <sz val="7"/>
        <color indexed="8"/>
        <rFont val="Times New Roman"/>
        <family val="1"/>
      </rPr>
      <t xml:space="preserve">    </t>
    </r>
    <r>
      <rPr>
        <b/>
        <sz val="7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Les constructions</t>
    </r>
    <r>
      <rPr>
        <sz val="12"/>
        <color indexed="8"/>
        <rFont val="Times New Roman"/>
        <family val="1"/>
      </rPr>
      <t xml:space="preserve"> sont amorties en linéaire sur 10 ans et acquise à la création de</t>
    </r>
  </si>
  <si>
    <r>
      <rPr>
        <b/>
        <sz val="12"/>
        <color indexed="8"/>
        <rFont val="Times New Roman"/>
        <family val="1"/>
      </rPr>
      <t>Le matériel industriel</t>
    </r>
    <r>
      <rPr>
        <sz val="12"/>
        <color indexed="8"/>
        <rFont val="Times New Roman"/>
        <family val="1"/>
      </rPr>
      <t xml:space="preserve"> a été acquis le 10 septembre 2009, pour une durée de 5 ans.</t>
    </r>
  </si>
  <si>
    <r>
      <rPr>
        <i/>
        <sz val="7"/>
        <color indexed="8"/>
        <rFont val="Times New Roman"/>
        <family val="1"/>
      </rPr>
      <t xml:space="preserve">          </t>
    </r>
    <r>
      <rPr>
        <i/>
        <sz val="12"/>
        <color indexed="8"/>
        <rFont val="Times New Roman"/>
        <family val="1"/>
      </rPr>
      <t>nous vous demandons de ne pas en appliquer.</t>
    </r>
  </si>
  <si>
    <t>2. les stocks :</t>
  </si>
  <si>
    <t>Le résultat de l’inventaire donne le résultat suivant :</t>
  </si>
  <si>
    <t>Stock de matières premières :</t>
  </si>
  <si>
    <t xml:space="preserve">Stock de produits finis : </t>
  </si>
  <si>
    <t xml:space="preserve">Dépréciation Stock matières premières </t>
  </si>
  <si>
    <t>décembre, mais n’a pas été enregistrée.</t>
  </si>
  <si>
    <t>et la période couverte démarre partir du 1er novembre.</t>
  </si>
  <si>
    <t>3&amp;4. les régularisations :</t>
  </si>
  <si>
    <t>Le poste clients douteux s’élève à 300€ et se décompose de la  façon suivante :</t>
  </si>
  <si>
    <t>5. les créances :</t>
  </si>
  <si>
    <t>COMPTE</t>
  </si>
  <si>
    <t>CREANCE</t>
  </si>
  <si>
    <t>PROVISION</t>
  </si>
  <si>
    <t>INFORMATION</t>
  </si>
  <si>
    <t>SMALTINE</t>
  </si>
  <si>
    <t>Est en liquidation, nous ne recevrons plus rien</t>
  </si>
  <si>
    <t>MARCASSITE</t>
  </si>
  <si>
    <t>Garde notre confiance mais nous complétons la dépréciation à 100.</t>
  </si>
  <si>
    <t>Un nouveau client nous inquiète, le client ONYX</t>
  </si>
  <si>
    <t>Il nous doit 1000€, et nous décidons de créer une dépréciation de 700€</t>
  </si>
  <si>
    <t>BALANCE 31/12/2011 Avant inventaire</t>
  </si>
  <si>
    <t>Débit</t>
  </si>
  <si>
    <t>Crédit</t>
  </si>
  <si>
    <t>Capital</t>
  </si>
  <si>
    <t>Réserves</t>
  </si>
  <si>
    <t>Report à nouveau</t>
  </si>
  <si>
    <t>Provisions reglementées</t>
  </si>
  <si>
    <t>Emprunts auprès des établissements de crédit</t>
  </si>
  <si>
    <t>Frais d’établissement</t>
  </si>
  <si>
    <t>Constructions</t>
  </si>
  <si>
    <t>Matériel industriel</t>
  </si>
  <si>
    <t>Matériel de transport</t>
  </si>
  <si>
    <t>Matériel de bureau</t>
  </si>
  <si>
    <t>Titres de participation</t>
  </si>
  <si>
    <t>Dépréciations sur titres</t>
  </si>
  <si>
    <t>Dépôts et cautionnements</t>
  </si>
  <si>
    <t>Amort frais d'établissement</t>
  </si>
  <si>
    <t>Amort Constructions</t>
  </si>
  <si>
    <t>Amort Matériel industriel</t>
  </si>
  <si>
    <t>Amort Matériel de transport</t>
  </si>
  <si>
    <t>Amort Matériel de bureau</t>
  </si>
  <si>
    <t>Stock de matières premières</t>
  </si>
  <si>
    <t>Stock de produits finis</t>
  </si>
  <si>
    <t>Dépréciation Stock matières premières</t>
  </si>
  <si>
    <t>Fournisseurs</t>
  </si>
  <si>
    <t>Clients</t>
  </si>
  <si>
    <t>Clients effets à recevoir</t>
  </si>
  <si>
    <t>Clients douteux</t>
  </si>
  <si>
    <t>Dépréciation Clients douteux</t>
  </si>
  <si>
    <t>Personnel rémunérations dues</t>
  </si>
  <si>
    <t>Sécurité Sociale</t>
  </si>
  <si>
    <t>Etats, autres impôts et taxes</t>
  </si>
  <si>
    <t>Débiteurs divers</t>
  </si>
  <si>
    <t>Banque</t>
  </si>
  <si>
    <t>Caisse</t>
  </si>
  <si>
    <t>Total</t>
  </si>
  <si>
    <t>achats de Matières premières</t>
  </si>
  <si>
    <t>RRR obtenus sur achats de matières premières</t>
  </si>
  <si>
    <t>Locations</t>
  </si>
  <si>
    <t>Entretien et réparations</t>
  </si>
  <si>
    <t>Assurance</t>
  </si>
  <si>
    <t>Personnel intérimaire</t>
  </si>
  <si>
    <t>Transports sur achats</t>
  </si>
  <si>
    <t>Voyages et déplacements</t>
  </si>
  <si>
    <t>Frais postaux &amp;télécommunications</t>
  </si>
  <si>
    <t>Services bancaires</t>
  </si>
  <si>
    <t>Impôts, taxes &amp; versements assimilés</t>
  </si>
  <si>
    <t>Charges de personnel</t>
  </si>
  <si>
    <t>Pertes sur créances irrécouvrables</t>
  </si>
  <si>
    <t>Charges d’intérêts</t>
  </si>
  <si>
    <t>Charges exceptionnelles sur opérations de gestion</t>
  </si>
  <si>
    <t>Dotations Amort Dep Provi</t>
  </si>
  <si>
    <t>Dotations amort dep exceptionnel</t>
  </si>
  <si>
    <t>Ventes de produits finis</t>
  </si>
  <si>
    <t>Produits des activités annexes</t>
  </si>
  <si>
    <t>RRR accordés/ventes de PF</t>
  </si>
  <si>
    <t>Produits de participations</t>
  </si>
  <si>
    <t>Escomptes obtenus</t>
  </si>
  <si>
    <t>Produits exceptionnels/opérations de gestion</t>
  </si>
  <si>
    <t>de résultat  de la société considérée, sans tenir compte de la TVA.</t>
  </si>
  <si>
    <t>estimerez nécessaires au 31/12/2011 , puis de construire le bilan  et le compte</t>
  </si>
  <si>
    <r>
      <rPr>
        <b/>
        <sz val="12"/>
        <color indexed="8"/>
        <rFont val="Times New Roman"/>
        <family val="1"/>
      </rPr>
      <t>Le matériel de bureau</t>
    </r>
    <r>
      <rPr>
        <sz val="12"/>
        <color indexed="8"/>
        <rFont val="Times New Roman"/>
        <family val="1"/>
      </rPr>
      <t xml:space="preserve"> a été acquis le 1</t>
    </r>
    <r>
      <rPr>
        <vertAlign val="superscript"/>
        <sz val="12"/>
        <color indexed="8"/>
        <rFont val="Times New Roman"/>
        <family val="1"/>
      </rPr>
      <t xml:space="preserve"> er</t>
    </r>
    <r>
      <rPr>
        <sz val="12"/>
        <color indexed="8"/>
        <rFont val="Times New Roman"/>
        <family val="1"/>
      </rPr>
      <t xml:space="preserve"> juillet 2009 pour une durée de 3ans en</t>
    </r>
  </si>
  <si>
    <t>Frais établissement</t>
  </si>
  <si>
    <t>Linéaire , comptable</t>
  </si>
  <si>
    <t>Dégressif fiscal</t>
  </si>
  <si>
    <t xml:space="preserve">coeff </t>
  </si>
  <si>
    <t>taux</t>
  </si>
  <si>
    <t>Dérog</t>
  </si>
  <si>
    <t>Après inv</t>
  </si>
  <si>
    <t>actif immobilisé</t>
  </si>
  <si>
    <t>actif circulant</t>
  </si>
  <si>
    <t>ACTIF</t>
  </si>
  <si>
    <t>CCA</t>
  </si>
  <si>
    <t>PASSIF</t>
  </si>
  <si>
    <t>Capitaux propres</t>
  </si>
  <si>
    <t>Dettes</t>
  </si>
  <si>
    <t>Résultat</t>
  </si>
  <si>
    <t>Compte de résultat</t>
  </si>
  <si>
    <t>Charges</t>
  </si>
  <si>
    <t>Produits</t>
  </si>
  <si>
    <t>variation stock MP</t>
  </si>
  <si>
    <t>variation stock PF</t>
  </si>
  <si>
    <t>rep exploi</t>
  </si>
  <si>
    <t>rep excep</t>
  </si>
  <si>
    <t>total</t>
  </si>
  <si>
    <t>benef</t>
  </si>
  <si>
    <r>
      <rPr>
        <b/>
        <sz val="12"/>
        <color indexed="8"/>
        <rFont val="Times New Roman"/>
        <family val="1"/>
      </rPr>
      <t>Le matériel de transport</t>
    </r>
    <r>
      <rPr>
        <sz val="12"/>
        <color indexed="8"/>
        <rFont val="Times New Roman"/>
        <family val="1"/>
      </rPr>
      <t xml:space="preserve"> a été acquis le 1</t>
    </r>
    <r>
      <rPr>
        <vertAlign val="superscript"/>
        <sz val="12"/>
        <color indexed="8"/>
        <rFont val="Times New Roman"/>
        <family val="1"/>
      </rPr>
      <t>er</t>
    </r>
    <r>
      <rPr>
        <sz val="12"/>
        <color indexed="8"/>
        <rFont val="Times New Roman"/>
        <family val="1"/>
      </rPr>
      <t xml:space="preserve"> avril 2010, pour une durée de 5ans. </t>
    </r>
  </si>
  <si>
    <t xml:space="preserve">Des matières premières d'une valeur de 3 000€ ont été livrées le 4 janvier 2012, la facture est arrivée le 29 </t>
  </si>
  <si>
    <t>Fournisseurs à régulariser</t>
  </si>
  <si>
    <t>retrouvable dans la balance avant inventaire au 31/12/2011</t>
  </si>
  <si>
    <t>montant</t>
  </si>
  <si>
    <t>à enregistrer au 31/12/2011</t>
  </si>
  <si>
    <t>tx linéaire</t>
  </si>
  <si>
    <t>La facture assurance incendie (18 000€) pour l’année prochaine a été comptabilisée,</t>
  </si>
  <si>
    <t xml:space="preserve">  -&gt; pour faire les docs de synthèse</t>
  </si>
  <si>
    <t>(Comptes 601-6091)</t>
  </si>
  <si>
    <t>(comptes 707- 7097)</t>
  </si>
  <si>
    <t>(les RRR viennent en déduction du compte concerné)</t>
  </si>
  <si>
    <t>Total charges</t>
  </si>
  <si>
    <t>total produits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</si>
</sst>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[$-409]dd\-mmm\-yy;@"/>
    <numFmt numFmtId="166" formatCode="_-* #,##0\ _€_-;\-* #,##0\ _€_-;_-* &quot;-&quot;??\ _€_-;_-@_-"/>
  </numFmts>
  <fonts count="24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7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b/>
      <sz val="7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7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8"/>
      <color theme="1"/>
      <name val="Monotype Corsiva"/>
      <family val="4"/>
    </font>
    <font>
      <i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3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2" fillId="0" borderId="0" xfId="0" applyFont="1"/>
    <xf numFmtId="0" fontId="16" fillId="0" borderId="0" xfId="0" applyFont="1" applyAlignment="1">
      <alignment horizontal="left" indent="7"/>
    </xf>
    <xf numFmtId="0" fontId="18" fillId="0" borderId="0" xfId="0" applyFont="1"/>
    <xf numFmtId="0" fontId="0" fillId="0" borderId="0" xfId="0" applyFont="1"/>
    <xf numFmtId="0" fontId="18" fillId="0" borderId="0" xfId="0" applyFont="1" applyAlignment="1">
      <alignment horizontal="left" indent="7"/>
    </xf>
    <xf numFmtId="0" fontId="19" fillId="0" borderId="0" xfId="0" applyFont="1" applyAlignment="1">
      <alignment horizontal="left" indent="1"/>
    </xf>
    <xf numFmtId="0" fontId="19" fillId="0" borderId="0" xfId="0" applyFont="1"/>
    <xf numFmtId="0" fontId="16" fillId="0" borderId="1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0" fillId="0" borderId="0" xfId="0" applyAlignment="1">
      <alignment horizontal="center"/>
    </xf>
    <xf numFmtId="164" fontId="10" fillId="0" borderId="3" xfId="1" applyFont="1" applyBorder="1" applyAlignment="1">
      <alignment horizontal="center"/>
    </xf>
    <xf numFmtId="0" fontId="16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vertical="top" wrapText="1"/>
    </xf>
    <xf numFmtId="0" fontId="16" fillId="0" borderId="0" xfId="0" applyFont="1" applyAlignment="1">
      <alignment horizontal="left" indent="2"/>
    </xf>
    <xf numFmtId="0" fontId="16" fillId="0" borderId="4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166" fontId="6" fillId="0" borderId="2" xfId="1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3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66" fontId="10" fillId="0" borderId="0" xfId="1" applyNumberFormat="1" applyFont="1"/>
    <xf numFmtId="166" fontId="6" fillId="0" borderId="1" xfId="1" applyNumberFormat="1" applyFont="1" applyBorder="1" applyAlignment="1">
      <alignment vertical="top" wrapText="1"/>
    </xf>
    <xf numFmtId="166" fontId="6" fillId="0" borderId="2" xfId="1" applyNumberFormat="1" applyFont="1" applyBorder="1" applyAlignment="1">
      <alignment vertical="top" wrapText="1"/>
    </xf>
    <xf numFmtId="166" fontId="6" fillId="0" borderId="2" xfId="1" applyNumberFormat="1" applyFont="1" applyBorder="1" applyAlignment="1">
      <alignment horizontal="right" vertical="top" wrapText="1"/>
    </xf>
    <xf numFmtId="0" fontId="11" fillId="0" borderId="0" xfId="0" applyFont="1"/>
    <xf numFmtId="1" fontId="0" fillId="0" borderId="0" xfId="0" applyNumberFormat="1"/>
    <xf numFmtId="10" fontId="0" fillId="0" borderId="0" xfId="0" applyNumberFormat="1"/>
    <xf numFmtId="1" fontId="11" fillId="0" borderId="0" xfId="0" applyNumberFormat="1" applyFont="1"/>
    <xf numFmtId="1" fontId="20" fillId="0" borderId="0" xfId="0" applyNumberFormat="1" applyFont="1"/>
    <xf numFmtId="0" fontId="16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16" fillId="0" borderId="0" xfId="0" applyFont="1" applyFill="1" applyBorder="1" applyAlignment="1">
      <alignment horizontal="right" vertical="top" wrapText="1"/>
    </xf>
    <xf numFmtId="164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0" fontId="21" fillId="0" borderId="0" xfId="0" applyFont="1"/>
    <xf numFmtId="0" fontId="2" fillId="0" borderId="0" xfId="0" applyFont="1"/>
    <xf numFmtId="0" fontId="0" fillId="2" borderId="0" xfId="0" applyFill="1"/>
    <xf numFmtId="9" fontId="0" fillId="0" borderId="0" xfId="0" applyNumberFormat="1"/>
    <xf numFmtId="0" fontId="22" fillId="0" borderId="0" xfId="0" applyFont="1"/>
    <xf numFmtId="0" fontId="23" fillId="0" borderId="0" xfId="0" applyFont="1"/>
    <xf numFmtId="0" fontId="0" fillId="0" borderId="3" xfId="0" applyBorder="1"/>
    <xf numFmtId="1" fontId="0" fillId="0" borderId="3" xfId="0" applyNumberFormat="1" applyBorder="1"/>
    <xf numFmtId="0" fontId="11" fillId="0" borderId="3" xfId="0" applyFont="1" applyBorder="1"/>
    <xf numFmtId="0" fontId="20" fillId="0" borderId="3" xfId="0" applyFont="1" applyBorder="1"/>
    <xf numFmtId="0" fontId="20" fillId="0" borderId="3" xfId="0" applyFont="1" applyFill="1" applyBorder="1"/>
    <xf numFmtId="1" fontId="20" fillId="0" borderId="3" xfId="0" applyNumberFormat="1" applyFont="1" applyFill="1" applyBorder="1"/>
    <xf numFmtId="0" fontId="11" fillId="0" borderId="3" xfId="0" applyFont="1" applyFill="1" applyBorder="1"/>
    <xf numFmtId="0" fontId="11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161925</xdr:rowOff>
    </xdr:from>
    <xdr:to>
      <xdr:col>3</xdr:col>
      <xdr:colOff>409575</xdr:colOff>
      <xdr:row>36</xdr:row>
      <xdr:rowOff>76200</xdr:rowOff>
    </xdr:to>
    <xdr:pic>
      <xdr:nvPicPr>
        <xdr:cNvPr id="2057" name="Picture 1" descr="MCj041244200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67400"/>
          <a:ext cx="26955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39"/>
  <sheetViews>
    <sheetView topLeftCell="A13" workbookViewId="0">
      <selection activeCell="E19" sqref="E19"/>
    </sheetView>
  </sheetViews>
  <sheetFormatPr baseColWidth="10" defaultRowHeight="15"/>
  <cols>
    <col min="7" max="7" width="13.140625" customWidth="1"/>
  </cols>
  <sheetData>
    <row r="5" spans="1:10" ht="28.5">
      <c r="A5" s="1" t="s">
        <v>1</v>
      </c>
    </row>
    <row r="6" spans="1:10" ht="28.5">
      <c r="A6" s="1" t="s">
        <v>2</v>
      </c>
    </row>
    <row r="7" spans="1:10" ht="28.5">
      <c r="A7" s="1"/>
    </row>
    <row r="8" spans="1:10" ht="28.5">
      <c r="A8" s="1" t="s">
        <v>3</v>
      </c>
    </row>
    <row r="10" spans="1:10" ht="28.5">
      <c r="A10" s="1" t="s">
        <v>5</v>
      </c>
      <c r="B10" s="3" t="s">
        <v>4</v>
      </c>
    </row>
    <row r="12" spans="1:10" ht="31.5">
      <c r="A12" s="2" t="s">
        <v>0</v>
      </c>
      <c r="E12" s="2"/>
      <c r="F12" s="2"/>
      <c r="G12" s="2"/>
      <c r="H12" s="2"/>
      <c r="I12" s="2"/>
      <c r="J12" s="2"/>
    </row>
    <row r="13" spans="1:10" ht="31.5">
      <c r="C13" s="2" t="s">
        <v>9</v>
      </c>
      <c r="D13" s="2"/>
      <c r="E13" s="2"/>
      <c r="G13" s="2"/>
      <c r="H13" s="2"/>
      <c r="I13" s="2"/>
      <c r="J13" s="2"/>
    </row>
    <row r="15" spans="1:10" ht="15.75">
      <c r="A15" s="4" t="s">
        <v>6</v>
      </c>
    </row>
    <row r="17" spans="1:1" ht="15.75">
      <c r="A17" s="4" t="s">
        <v>105</v>
      </c>
    </row>
    <row r="19" spans="1:1" ht="15.75">
      <c r="A19" s="4" t="s">
        <v>104</v>
      </c>
    </row>
    <row r="21" spans="1:1" ht="15.75">
      <c r="A21" s="4" t="s">
        <v>7</v>
      </c>
    </row>
    <row r="23" spans="1:1" ht="15.75">
      <c r="A23" s="4" t="s">
        <v>8</v>
      </c>
    </row>
    <row r="38" spans="3:11" ht="23.25">
      <c r="C38" s="5" t="s">
        <v>10</v>
      </c>
      <c r="K38" s="5"/>
    </row>
    <row r="39" spans="3:11" ht="23.25">
      <c r="C39" s="5" t="s"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74"/>
  <sheetViews>
    <sheetView topLeftCell="A44" workbookViewId="0">
      <selection activeCell="E44" sqref="E44"/>
    </sheetView>
  </sheetViews>
  <sheetFormatPr baseColWidth="10" defaultRowHeight="15"/>
  <cols>
    <col min="1" max="1" width="4.42578125" customWidth="1"/>
    <col min="2" max="2" width="11.42578125" style="15"/>
    <col min="3" max="3" width="29.140625" customWidth="1"/>
    <col min="4" max="4" width="15.140625" customWidth="1"/>
    <col min="5" max="5" width="13.42578125" customWidth="1"/>
    <col min="6" max="6" width="12.7109375" bestFit="1" customWidth="1"/>
  </cols>
  <sheetData>
    <row r="1" spans="2:9">
      <c r="C1" t="s">
        <v>45</v>
      </c>
    </row>
    <row r="2" spans="2:9" ht="15.75" thickBot="1">
      <c r="G2" s="62" t="s">
        <v>113</v>
      </c>
      <c r="H2" s="62"/>
      <c r="I2" t="s">
        <v>139</v>
      </c>
    </row>
    <row r="3" spans="2:9" ht="16.5" thickBot="1">
      <c r="B3" s="23"/>
      <c r="C3" s="24"/>
      <c r="D3" s="25" t="s">
        <v>46</v>
      </c>
      <c r="E3" s="25" t="s">
        <v>47</v>
      </c>
      <c r="F3" s="26"/>
    </row>
    <row r="4" spans="2:9" ht="16.5" thickBot="1">
      <c r="B4" s="27">
        <v>101</v>
      </c>
      <c r="C4" s="28" t="s">
        <v>48</v>
      </c>
      <c r="D4" s="29"/>
      <c r="E4" s="29">
        <v>40000</v>
      </c>
      <c r="F4" s="29"/>
      <c r="G4" s="48"/>
      <c r="H4" s="48">
        <f>E4</f>
        <v>40000</v>
      </c>
    </row>
    <row r="5" spans="2:9" ht="16.5" thickBot="1">
      <c r="B5" s="27">
        <v>106</v>
      </c>
      <c r="C5" s="28" t="s">
        <v>49</v>
      </c>
      <c r="D5" s="29"/>
      <c r="E5" s="29">
        <v>0</v>
      </c>
      <c r="F5" s="29"/>
      <c r="G5" s="48"/>
      <c r="H5" s="48">
        <f>E5</f>
        <v>0</v>
      </c>
    </row>
    <row r="6" spans="2:9" ht="16.5" thickBot="1">
      <c r="B6" s="27">
        <v>110</v>
      </c>
      <c r="C6" s="28" t="s">
        <v>50</v>
      </c>
      <c r="D6" s="29"/>
      <c r="E6" s="29">
        <v>-2000</v>
      </c>
      <c r="F6" s="29"/>
      <c r="G6" s="48"/>
      <c r="H6" s="48">
        <f>E6</f>
        <v>-2000</v>
      </c>
    </row>
    <row r="7" spans="2:9" ht="16.5" thickBot="1">
      <c r="B7" s="30">
        <v>145</v>
      </c>
      <c r="C7" s="28" t="s">
        <v>51</v>
      </c>
      <c r="D7" s="28"/>
      <c r="E7" s="29">
        <v>5232</v>
      </c>
      <c r="F7" s="28"/>
      <c r="G7" s="48"/>
      <c r="H7" s="48">
        <f>E7+52+581-458</f>
        <v>5407</v>
      </c>
    </row>
    <row r="8" spans="2:9" ht="32.25" thickBot="1">
      <c r="B8" s="27">
        <v>164</v>
      </c>
      <c r="C8" s="28" t="s">
        <v>52</v>
      </c>
      <c r="D8" s="29"/>
      <c r="E8" s="29">
        <v>9000</v>
      </c>
      <c r="F8" s="29"/>
      <c r="G8" s="48"/>
      <c r="H8" s="48">
        <v>9000</v>
      </c>
    </row>
    <row r="9" spans="2:9" ht="16.5" thickBot="1">
      <c r="B9" s="27">
        <v>201</v>
      </c>
      <c r="C9" s="28" t="s">
        <v>53</v>
      </c>
      <c r="D9" s="29">
        <v>1000</v>
      </c>
      <c r="E9" s="29"/>
      <c r="F9" s="29"/>
      <c r="G9" s="48">
        <v>1000</v>
      </c>
      <c r="H9" s="48"/>
    </row>
    <row r="10" spans="2:9" ht="16.5" thickBot="1">
      <c r="B10" s="27">
        <v>213</v>
      </c>
      <c r="C10" s="28" t="s">
        <v>54</v>
      </c>
      <c r="D10" s="29">
        <v>15000</v>
      </c>
      <c r="E10" s="29"/>
      <c r="F10" s="29"/>
      <c r="G10" s="48">
        <v>15000</v>
      </c>
      <c r="H10" s="48"/>
    </row>
    <row r="11" spans="2:9" ht="16.5" thickBot="1">
      <c r="B11" s="27">
        <v>2154</v>
      </c>
      <c r="C11" s="28" t="s">
        <v>55</v>
      </c>
      <c r="D11" s="29">
        <v>5000</v>
      </c>
      <c r="E11" s="29"/>
      <c r="F11" s="29"/>
      <c r="G11" s="48">
        <v>5000</v>
      </c>
      <c r="H11" s="48"/>
    </row>
    <row r="12" spans="2:9" ht="16.5" thickBot="1">
      <c r="B12" s="27">
        <v>2154</v>
      </c>
      <c r="C12" s="28" t="s">
        <v>56</v>
      </c>
      <c r="D12" s="29">
        <v>10000</v>
      </c>
      <c r="E12" s="29"/>
      <c r="F12" s="29"/>
      <c r="G12" s="48">
        <v>10000</v>
      </c>
      <c r="H12" s="48"/>
    </row>
    <row r="13" spans="2:9" ht="16.5" thickBot="1">
      <c r="B13" s="27">
        <v>2183</v>
      </c>
      <c r="C13" s="28" t="s">
        <v>57</v>
      </c>
      <c r="D13" s="29">
        <v>12000</v>
      </c>
      <c r="E13" s="29"/>
      <c r="F13" s="29"/>
      <c r="G13" s="48">
        <v>12000</v>
      </c>
      <c r="H13" s="48"/>
    </row>
    <row r="14" spans="2:9" ht="16.5" thickBot="1">
      <c r="B14" s="27">
        <v>261</v>
      </c>
      <c r="C14" s="28" t="s">
        <v>58</v>
      </c>
      <c r="D14" s="29">
        <v>10311</v>
      </c>
      <c r="E14" s="29"/>
      <c r="F14" s="29"/>
      <c r="G14" s="48">
        <v>10311</v>
      </c>
      <c r="H14" s="48"/>
    </row>
    <row r="15" spans="2:9" ht="16.5" thickBot="1">
      <c r="B15" s="27">
        <v>29</v>
      </c>
      <c r="C15" s="28" t="s">
        <v>59</v>
      </c>
      <c r="D15" s="29"/>
      <c r="E15" s="29">
        <v>360</v>
      </c>
      <c r="F15" s="29"/>
      <c r="G15" s="48"/>
      <c r="H15" s="48">
        <v>360</v>
      </c>
    </row>
    <row r="16" spans="2:9" ht="16.5" thickBot="1">
      <c r="B16" s="27">
        <v>275</v>
      </c>
      <c r="C16" s="28" t="s">
        <v>60</v>
      </c>
      <c r="D16" s="29">
        <v>500</v>
      </c>
      <c r="E16" s="29"/>
      <c r="F16" s="29"/>
      <c r="G16" s="48">
        <v>500</v>
      </c>
      <c r="H16" s="48"/>
    </row>
    <row r="17" spans="2:8" ht="16.5" thickBot="1">
      <c r="B17" s="27">
        <v>2801</v>
      </c>
      <c r="C17" s="28" t="s">
        <v>61</v>
      </c>
      <c r="D17" s="29"/>
      <c r="E17" s="29">
        <v>300</v>
      </c>
      <c r="F17" s="29"/>
      <c r="H17" s="48">
        <f>300+200</f>
        <v>500</v>
      </c>
    </row>
    <row r="18" spans="2:8" ht="16.5" thickBot="1">
      <c r="B18" s="27">
        <v>2813</v>
      </c>
      <c r="C18" s="28" t="s">
        <v>62</v>
      </c>
      <c r="D18" s="29"/>
      <c r="E18" s="29">
        <v>2250</v>
      </c>
      <c r="F18" s="29"/>
      <c r="H18" s="48">
        <f>2250+1500</f>
        <v>3750</v>
      </c>
    </row>
    <row r="19" spans="2:8" ht="16.5" thickBot="1">
      <c r="B19" s="27">
        <v>2815</v>
      </c>
      <c r="C19" s="28" t="s">
        <v>63</v>
      </c>
      <c r="D19" s="29"/>
      <c r="E19" s="29">
        <v>1305</v>
      </c>
      <c r="F19" s="29"/>
      <c r="H19" s="48">
        <f>1305+1000</f>
        <v>2305</v>
      </c>
    </row>
    <row r="20" spans="2:8" ht="16.5" thickBot="1">
      <c r="B20" s="31">
        <v>28182</v>
      </c>
      <c r="C20" s="28" t="s">
        <v>64</v>
      </c>
      <c r="D20" s="29"/>
      <c r="E20" s="29">
        <v>1500</v>
      </c>
      <c r="F20" s="29"/>
      <c r="H20" s="48">
        <f>1500+2000</f>
        <v>3500</v>
      </c>
    </row>
    <row r="21" spans="2:8" ht="16.5" thickBot="1">
      <c r="B21" s="31">
        <v>28183</v>
      </c>
      <c r="C21" s="28" t="s">
        <v>65</v>
      </c>
      <c r="D21" s="29"/>
      <c r="E21" s="29">
        <v>6000</v>
      </c>
      <c r="F21" s="29"/>
      <c r="H21" s="48">
        <f>6000+4000</f>
        <v>10000</v>
      </c>
    </row>
    <row r="22" spans="2:8" ht="16.5" thickBot="1">
      <c r="B22" s="27">
        <v>31</v>
      </c>
      <c r="C22" s="28" t="s">
        <v>66</v>
      </c>
      <c r="D22" s="29">
        <v>12000</v>
      </c>
      <c r="E22" s="29"/>
      <c r="F22" s="29"/>
      <c r="G22" s="48">
        <v>10000</v>
      </c>
    </row>
    <row r="23" spans="2:8" ht="16.5" thickBot="1">
      <c r="B23" s="27">
        <v>35</v>
      </c>
      <c r="C23" s="28" t="s">
        <v>67</v>
      </c>
      <c r="D23" s="29">
        <v>25000</v>
      </c>
      <c r="E23" s="29"/>
      <c r="F23" s="29"/>
      <c r="G23" s="48">
        <v>24000</v>
      </c>
    </row>
    <row r="24" spans="2:8" ht="32.25" thickBot="1">
      <c r="B24" s="27">
        <v>391</v>
      </c>
      <c r="C24" s="28" t="s">
        <v>68</v>
      </c>
      <c r="D24" s="29"/>
      <c r="E24" s="29">
        <v>600</v>
      </c>
      <c r="F24" s="29"/>
      <c r="H24" s="48">
        <v>400</v>
      </c>
    </row>
    <row r="25" spans="2:8" ht="16.5" thickBot="1">
      <c r="B25" s="27">
        <v>401</v>
      </c>
      <c r="C25" s="28" t="s">
        <v>69</v>
      </c>
      <c r="D25" s="29"/>
      <c r="E25" s="29">
        <v>46278</v>
      </c>
      <c r="F25" s="29"/>
      <c r="H25" s="48">
        <v>46278</v>
      </c>
    </row>
    <row r="26" spans="2:8" ht="16.5" thickBot="1">
      <c r="B26" s="27">
        <v>4081</v>
      </c>
      <c r="C26" s="28" t="s">
        <v>133</v>
      </c>
      <c r="D26" s="29"/>
      <c r="E26" s="29"/>
      <c r="F26" s="29"/>
      <c r="H26" s="48">
        <v>3000</v>
      </c>
    </row>
    <row r="27" spans="2:8" ht="16.5" thickBot="1">
      <c r="B27" s="27">
        <v>411</v>
      </c>
      <c r="C27" s="28" t="s">
        <v>70</v>
      </c>
      <c r="D27" s="29">
        <v>13000</v>
      </c>
      <c r="E27" s="29"/>
      <c r="F27" s="29"/>
      <c r="G27" s="48">
        <f>13000-1000</f>
        <v>12000</v>
      </c>
    </row>
    <row r="28" spans="2:8" ht="16.5" thickBot="1">
      <c r="B28" s="27">
        <v>413</v>
      </c>
      <c r="C28" s="28" t="s">
        <v>71</v>
      </c>
      <c r="D28" s="29">
        <v>2000</v>
      </c>
      <c r="E28" s="29"/>
      <c r="F28" s="29"/>
      <c r="G28" s="48">
        <v>2000</v>
      </c>
    </row>
    <row r="29" spans="2:8" ht="16.5" thickBot="1">
      <c r="B29" s="27">
        <v>416</v>
      </c>
      <c r="C29" s="28" t="s">
        <v>72</v>
      </c>
      <c r="D29" s="29">
        <v>300</v>
      </c>
      <c r="E29" s="29"/>
      <c r="F29" s="29"/>
      <c r="G29" s="48">
        <f>300+1000-180</f>
        <v>1120</v>
      </c>
    </row>
    <row r="30" spans="2:8" ht="16.5" thickBot="1">
      <c r="B30" s="27">
        <v>486</v>
      </c>
      <c r="C30" s="28"/>
      <c r="D30" s="29"/>
      <c r="E30" s="29"/>
      <c r="F30" s="29"/>
      <c r="G30" s="48">
        <v>15000</v>
      </c>
    </row>
    <row r="31" spans="2:8" ht="16.5" thickBot="1">
      <c r="B31" s="27">
        <v>491</v>
      </c>
      <c r="C31" s="28" t="s">
        <v>73</v>
      </c>
      <c r="D31" s="29"/>
      <c r="E31" s="29">
        <v>200</v>
      </c>
      <c r="F31" s="29"/>
      <c r="H31" s="48">
        <f>200+10-110+700</f>
        <v>800</v>
      </c>
    </row>
    <row r="32" spans="2:8" ht="16.5" thickBot="1">
      <c r="B32" s="27">
        <v>421</v>
      </c>
      <c r="C32" s="28" t="s">
        <v>74</v>
      </c>
      <c r="D32" s="29"/>
      <c r="E32" s="29">
        <v>5200</v>
      </c>
      <c r="F32" s="29"/>
      <c r="H32" s="48">
        <v>5200</v>
      </c>
    </row>
    <row r="33" spans="2:9" ht="16.5" thickBot="1">
      <c r="B33" s="27">
        <v>431</v>
      </c>
      <c r="C33" s="28" t="s">
        <v>75</v>
      </c>
      <c r="D33" s="29"/>
      <c r="E33" s="29">
        <v>2000</v>
      </c>
      <c r="F33" s="29"/>
      <c r="H33" s="48">
        <v>2000</v>
      </c>
    </row>
    <row r="34" spans="2:9" ht="16.5" thickBot="1">
      <c r="B34" s="27">
        <v>447</v>
      </c>
      <c r="C34" s="28" t="s">
        <v>76</v>
      </c>
      <c r="D34" s="29"/>
      <c r="E34" s="29">
        <v>1500</v>
      </c>
      <c r="F34" s="29"/>
      <c r="H34" s="48">
        <v>1500</v>
      </c>
    </row>
    <row r="35" spans="2:9" ht="16.5" thickBot="1">
      <c r="B35" s="27">
        <v>46</v>
      </c>
      <c r="C35" s="28" t="s">
        <v>77</v>
      </c>
      <c r="D35" s="29">
        <v>1000</v>
      </c>
      <c r="E35" s="29"/>
      <c r="F35" s="29"/>
      <c r="G35" s="48">
        <v>1000</v>
      </c>
      <c r="H35" s="48"/>
    </row>
    <row r="36" spans="2:9" ht="16.5" thickBot="1">
      <c r="B36" s="27">
        <v>512</v>
      </c>
      <c r="C36" s="28" t="s">
        <v>78</v>
      </c>
      <c r="D36" s="29">
        <v>27241</v>
      </c>
      <c r="E36" s="29"/>
      <c r="F36" s="29"/>
      <c r="G36" s="48">
        <v>27241</v>
      </c>
      <c r="H36" s="48"/>
    </row>
    <row r="37" spans="2:9" ht="16.5" thickBot="1">
      <c r="B37" s="27">
        <v>53</v>
      </c>
      <c r="C37" s="28" t="s">
        <v>79</v>
      </c>
      <c r="D37" s="29">
        <v>1000</v>
      </c>
      <c r="E37" s="29"/>
      <c r="F37" s="29"/>
      <c r="G37" s="48">
        <v>1000</v>
      </c>
      <c r="H37" s="48"/>
    </row>
    <row r="38" spans="2:9" ht="16.5" thickBot="1">
      <c r="B38" s="27"/>
      <c r="C38" s="32" t="s">
        <v>80</v>
      </c>
      <c r="D38" s="29">
        <f>SUM(D3:D37)</f>
        <v>135352</v>
      </c>
      <c r="E38" s="29">
        <f>SUM(E4:E37)</f>
        <v>119725</v>
      </c>
      <c r="F38" s="29">
        <f>D38-E38</f>
        <v>15627</v>
      </c>
      <c r="G38" s="29">
        <f>SUM(G3:G37)</f>
        <v>147172</v>
      </c>
      <c r="H38" s="29">
        <f>SUM(H3:H37)</f>
        <v>132000</v>
      </c>
      <c r="I38" s="48">
        <f>G38-H38</f>
        <v>15172</v>
      </c>
    </row>
    <row r="39" spans="2:9" ht="15.75">
      <c r="B39" s="33"/>
      <c r="D39" s="34"/>
      <c r="E39" s="34"/>
      <c r="F39" s="34"/>
    </row>
    <row r="40" spans="2:9" ht="15.75">
      <c r="B40" s="33"/>
      <c r="D40" s="34"/>
      <c r="E40" s="34"/>
      <c r="F40" s="34"/>
    </row>
    <row r="41" spans="2:9" ht="15.75">
      <c r="B41" s="33"/>
      <c r="D41" s="34"/>
      <c r="E41" s="34"/>
      <c r="F41" s="34"/>
    </row>
    <row r="42" spans="2:9" ht="15.75">
      <c r="B42" s="33"/>
      <c r="D42" s="34"/>
      <c r="E42" s="34"/>
      <c r="F42" s="34"/>
    </row>
    <row r="46" spans="2:9" ht="15.75" thickBot="1"/>
    <row r="47" spans="2:9" ht="16.5" thickBot="1">
      <c r="B47" s="23">
        <v>601</v>
      </c>
      <c r="C47" s="24" t="s">
        <v>81</v>
      </c>
      <c r="D47" s="35">
        <v>25610</v>
      </c>
      <c r="E47" s="35"/>
      <c r="F47" s="35"/>
      <c r="G47" s="48">
        <f>25610+3000</f>
        <v>28610</v>
      </c>
    </row>
    <row r="48" spans="2:9" ht="16.5" thickBot="1">
      <c r="B48" s="27">
        <v>6031</v>
      </c>
      <c r="C48" s="28"/>
      <c r="D48" s="36"/>
      <c r="E48" s="36"/>
      <c r="F48" s="36"/>
      <c r="G48" s="48">
        <v>2000</v>
      </c>
    </row>
    <row r="49" spans="2:8" ht="32.25" thickBot="1">
      <c r="B49" s="27">
        <v>6091</v>
      </c>
      <c r="C49" s="28" t="s">
        <v>82</v>
      </c>
      <c r="D49" s="36"/>
      <c r="E49" s="36">
        <v>110</v>
      </c>
      <c r="F49" s="36"/>
      <c r="H49" s="48">
        <v>110</v>
      </c>
    </row>
    <row r="50" spans="2:8" ht="16.5" thickBot="1">
      <c r="B50" s="27">
        <v>613</v>
      </c>
      <c r="C50" s="28" t="s">
        <v>83</v>
      </c>
      <c r="D50" s="36">
        <v>28000</v>
      </c>
      <c r="E50" s="36"/>
      <c r="F50" s="36"/>
      <c r="G50" s="48">
        <v>28000</v>
      </c>
    </row>
    <row r="51" spans="2:8" ht="16.5" thickBot="1">
      <c r="B51" s="27">
        <v>615</v>
      </c>
      <c r="C51" s="28" t="s">
        <v>84</v>
      </c>
      <c r="D51" s="36">
        <v>32000</v>
      </c>
      <c r="E51" s="36"/>
      <c r="F51" s="36"/>
      <c r="G51" s="48">
        <v>32000</v>
      </c>
    </row>
    <row r="52" spans="2:8" ht="16.5" thickBot="1">
      <c r="B52" s="27">
        <v>616</v>
      </c>
      <c r="C52" s="28" t="s">
        <v>85</v>
      </c>
      <c r="D52" s="36">
        <v>18000</v>
      </c>
      <c r="E52" s="36"/>
      <c r="F52" s="36"/>
      <c r="G52" s="48">
        <f>18000-15000</f>
        <v>3000</v>
      </c>
    </row>
    <row r="53" spans="2:8" ht="16.5" thickBot="1">
      <c r="B53" s="27">
        <v>621</v>
      </c>
      <c r="C53" s="28" t="s">
        <v>86</v>
      </c>
      <c r="D53" s="36">
        <v>6000</v>
      </c>
      <c r="E53" s="36"/>
      <c r="F53" s="36"/>
      <c r="G53" s="48">
        <v>6000</v>
      </c>
    </row>
    <row r="54" spans="2:8" ht="16.5" thickBot="1">
      <c r="B54" s="27">
        <v>6241</v>
      </c>
      <c r="C54" s="28" t="s">
        <v>87</v>
      </c>
      <c r="D54" s="36">
        <v>4550</v>
      </c>
      <c r="E54" s="36"/>
      <c r="F54" s="36"/>
      <c r="G54" s="48">
        <v>4550</v>
      </c>
    </row>
    <row r="55" spans="2:8" ht="16.5" thickBot="1">
      <c r="B55" s="27">
        <v>6251</v>
      </c>
      <c r="C55" s="28" t="s">
        <v>88</v>
      </c>
      <c r="D55" s="36">
        <v>2800</v>
      </c>
      <c r="E55" s="36"/>
      <c r="F55" s="36"/>
      <c r="G55" s="48">
        <v>2800</v>
      </c>
    </row>
    <row r="56" spans="2:8" ht="32.25" thickBot="1">
      <c r="B56" s="27">
        <v>626</v>
      </c>
      <c r="C56" s="28" t="s">
        <v>89</v>
      </c>
      <c r="D56" s="36">
        <v>1300</v>
      </c>
      <c r="E56" s="36"/>
      <c r="F56" s="36"/>
      <c r="G56" s="48">
        <v>1300</v>
      </c>
    </row>
    <row r="57" spans="2:8" ht="16.5" thickBot="1">
      <c r="B57" s="27">
        <v>627</v>
      </c>
      <c r="C57" s="28" t="s">
        <v>90</v>
      </c>
      <c r="D57" s="36">
        <v>200</v>
      </c>
      <c r="E57" s="36"/>
      <c r="F57" s="36"/>
      <c r="G57" s="48">
        <v>200</v>
      </c>
    </row>
    <row r="58" spans="2:8" ht="32.25" thickBot="1">
      <c r="B58" s="27">
        <v>63</v>
      </c>
      <c r="C58" s="28" t="s">
        <v>91</v>
      </c>
      <c r="D58" s="36">
        <v>30000</v>
      </c>
      <c r="E58" s="36"/>
      <c r="F58" s="36"/>
      <c r="G58" s="48">
        <v>30000</v>
      </c>
    </row>
    <row r="59" spans="2:8" ht="16.5" thickBot="1">
      <c r="B59" s="27">
        <v>64</v>
      </c>
      <c r="C59" s="28" t="s">
        <v>92</v>
      </c>
      <c r="D59" s="36">
        <v>42500</v>
      </c>
      <c r="E59" s="36"/>
      <c r="F59" s="36"/>
      <c r="G59" s="48">
        <v>42500</v>
      </c>
    </row>
    <row r="60" spans="2:8" ht="32.25" thickBot="1">
      <c r="B60" s="27">
        <v>654</v>
      </c>
      <c r="C60" s="28" t="s">
        <v>93</v>
      </c>
      <c r="D60" s="36">
        <v>2700</v>
      </c>
      <c r="E60" s="36"/>
      <c r="F60" s="36"/>
      <c r="G60" s="48">
        <f>2700+180</f>
        <v>2880</v>
      </c>
    </row>
    <row r="61" spans="2:8" ht="16.5" thickBot="1">
      <c r="B61" s="27">
        <v>661</v>
      </c>
      <c r="C61" s="28" t="s">
        <v>94</v>
      </c>
      <c r="D61" s="36">
        <v>4000</v>
      </c>
      <c r="E61" s="36"/>
      <c r="F61" s="36"/>
      <c r="G61" s="48">
        <v>4000</v>
      </c>
    </row>
    <row r="62" spans="2:8" ht="32.25" thickBot="1">
      <c r="B62" s="27">
        <v>671</v>
      </c>
      <c r="C62" s="28" t="s">
        <v>95</v>
      </c>
      <c r="D62" s="36">
        <v>2000</v>
      </c>
      <c r="E62" s="36"/>
      <c r="F62" s="36"/>
      <c r="G62" s="48">
        <v>2000</v>
      </c>
    </row>
    <row r="63" spans="2:8" ht="16.5" thickBot="1">
      <c r="B63" s="27">
        <v>681</v>
      </c>
      <c r="C63" s="28" t="s">
        <v>96</v>
      </c>
      <c r="D63" s="36"/>
      <c r="E63" s="36"/>
      <c r="F63" s="36"/>
      <c r="G63" s="48">
        <f>8700+400+10+700</f>
        <v>9810</v>
      </c>
    </row>
    <row r="64" spans="2:8" ht="32.25" thickBot="1">
      <c r="B64" s="27">
        <v>687</v>
      </c>
      <c r="C64" s="28" t="s">
        <v>97</v>
      </c>
      <c r="D64" s="36"/>
      <c r="E64" s="36"/>
      <c r="F64" s="36"/>
      <c r="G64" s="48">
        <f>amortissements!E72</f>
        <v>633</v>
      </c>
    </row>
    <row r="65" spans="2:11" ht="16.5" thickBot="1">
      <c r="B65" s="27">
        <v>707</v>
      </c>
      <c r="C65" s="28" t="s">
        <v>98</v>
      </c>
      <c r="D65" s="36"/>
      <c r="E65" s="37">
        <v>200047</v>
      </c>
      <c r="F65" s="36"/>
      <c r="H65" s="48">
        <v>200047</v>
      </c>
    </row>
    <row r="66" spans="2:11" ht="16.5" thickBot="1">
      <c r="B66" s="27">
        <v>708</v>
      </c>
      <c r="C66" s="28" t="s">
        <v>99</v>
      </c>
      <c r="D66" s="36"/>
      <c r="E66" s="37">
        <v>1350</v>
      </c>
      <c r="F66" s="36"/>
      <c r="H66" s="48">
        <v>1350</v>
      </c>
    </row>
    <row r="67" spans="2:11" ht="16.5" thickBot="1">
      <c r="B67" s="27">
        <v>7097</v>
      </c>
      <c r="C67" s="28" t="s">
        <v>100</v>
      </c>
      <c r="D67" s="36">
        <v>47</v>
      </c>
      <c r="E67" s="37"/>
      <c r="F67" s="36"/>
      <c r="G67" s="48">
        <v>47</v>
      </c>
      <c r="H67" s="48">
        <f t="shared" ref="H66:H71" si="0">E67</f>
        <v>0</v>
      </c>
    </row>
    <row r="68" spans="2:11" ht="16.5" thickBot="1">
      <c r="B68" s="27">
        <v>7135</v>
      </c>
      <c r="C68" s="28"/>
      <c r="D68" s="36"/>
      <c r="E68" s="37"/>
      <c r="F68" s="36"/>
      <c r="G68">
        <v>1000</v>
      </c>
      <c r="H68" s="48"/>
    </row>
    <row r="69" spans="2:11" ht="16.5" thickBot="1">
      <c r="B69" s="27">
        <v>761</v>
      </c>
      <c r="C69" s="28" t="s">
        <v>101</v>
      </c>
      <c r="D69" s="36"/>
      <c r="E69" s="36">
        <v>12627</v>
      </c>
      <c r="F69" s="36"/>
      <c r="H69" s="48">
        <v>12627</v>
      </c>
    </row>
    <row r="70" spans="2:11" ht="16.5" thickBot="1">
      <c r="B70" s="27">
        <v>765</v>
      </c>
      <c r="C70" s="28" t="s">
        <v>102</v>
      </c>
      <c r="D70" s="36"/>
      <c r="E70" s="36">
        <v>700</v>
      </c>
      <c r="F70" s="36"/>
      <c r="H70" s="48">
        <v>700</v>
      </c>
    </row>
    <row r="71" spans="2:11" ht="48" thickBot="1">
      <c r="B71" s="27">
        <v>771</v>
      </c>
      <c r="C71" s="28" t="s">
        <v>103</v>
      </c>
      <c r="D71" s="36"/>
      <c r="E71" s="36">
        <v>500</v>
      </c>
      <c r="F71" s="36"/>
      <c r="H71" s="48">
        <v>500</v>
      </c>
    </row>
    <row r="72" spans="2:11" ht="16.5" thickBot="1">
      <c r="B72" s="27">
        <v>781</v>
      </c>
      <c r="C72" s="28"/>
      <c r="D72" s="36"/>
      <c r="E72" s="36"/>
      <c r="F72" s="36"/>
      <c r="H72" s="48">
        <f>600+110</f>
        <v>710</v>
      </c>
    </row>
    <row r="73" spans="2:11" ht="16.5" thickBot="1">
      <c r="B73" s="27">
        <v>787</v>
      </c>
      <c r="C73" s="28"/>
      <c r="D73" s="36"/>
      <c r="E73" s="36"/>
      <c r="F73" s="36"/>
      <c r="H73" s="48">
        <v>458</v>
      </c>
    </row>
    <row r="74" spans="2:11" ht="16.5" thickBot="1">
      <c r="B74" s="27"/>
      <c r="C74" s="32" t="s">
        <v>80</v>
      </c>
      <c r="D74" s="36">
        <f>SUM(D47:D71)</f>
        <v>199707</v>
      </c>
      <c r="E74" s="36">
        <f>SUM(E47:E71)</f>
        <v>215334</v>
      </c>
      <c r="F74" s="36">
        <f>D74-E74</f>
        <v>-15627</v>
      </c>
      <c r="G74" s="48">
        <f>SUM(G47:G73)</f>
        <v>201330</v>
      </c>
      <c r="H74" s="48">
        <f>SUM(H47:H73)</f>
        <v>216502</v>
      </c>
      <c r="I74" s="48">
        <f>H74-G74</f>
        <v>15172</v>
      </c>
      <c r="K74" s="48"/>
    </row>
  </sheetData>
  <mergeCells count="1"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6"/>
  <sheetViews>
    <sheetView topLeftCell="A51" workbookViewId="0">
      <selection activeCell="E57" sqref="E57"/>
    </sheetView>
  </sheetViews>
  <sheetFormatPr baseColWidth="10" defaultRowHeight="15"/>
  <cols>
    <col min="6" max="6" width="6.42578125" customWidth="1"/>
    <col min="7" max="7" width="11.140625" customWidth="1"/>
    <col min="12" max="12" width="6.140625" customWidth="1"/>
  </cols>
  <sheetData>
    <row r="1" spans="1:9" ht="15.75">
      <c r="A1" s="4" t="s">
        <v>12</v>
      </c>
    </row>
    <row r="2" spans="1:9" ht="15.75">
      <c r="A2" s="4"/>
    </row>
    <row r="3" spans="1:9" ht="18.75">
      <c r="A3" s="11" t="s">
        <v>13</v>
      </c>
    </row>
    <row r="4" spans="1:9" ht="15.75">
      <c r="A4" s="4" t="s">
        <v>14</v>
      </c>
    </row>
    <row r="6" spans="1:9" ht="15.75">
      <c r="A6" s="7" t="s">
        <v>21</v>
      </c>
    </row>
    <row r="7" spans="1:9" ht="15.75">
      <c r="A7" s="7" t="s">
        <v>22</v>
      </c>
    </row>
    <row r="8" spans="1:9">
      <c r="B8" t="s">
        <v>15</v>
      </c>
    </row>
    <row r="9" spans="1:9" ht="15.75">
      <c r="B9" s="4" t="s">
        <v>23</v>
      </c>
    </row>
    <row r="10" spans="1:9" ht="15.75">
      <c r="A10" s="6"/>
      <c r="B10" s="4" t="s">
        <v>16</v>
      </c>
      <c r="I10">
        <v>2.25</v>
      </c>
    </row>
    <row r="11" spans="1:9" ht="15.75">
      <c r="B11" s="4" t="s">
        <v>17</v>
      </c>
    </row>
    <row r="12" spans="1:9" ht="18.75">
      <c r="B12" s="50" t="s">
        <v>131</v>
      </c>
      <c r="H12" s="38"/>
    </row>
    <row r="13" spans="1:9" ht="15.75">
      <c r="B13" s="4" t="s">
        <v>18</v>
      </c>
    </row>
    <row r="14" spans="1:9" ht="15.75">
      <c r="B14" s="4" t="s">
        <v>17</v>
      </c>
      <c r="I14">
        <v>1.75</v>
      </c>
    </row>
    <row r="15" spans="1:9" ht="15.75">
      <c r="B15" s="8" t="s">
        <v>19</v>
      </c>
    </row>
    <row r="16" spans="1:9" ht="15.75">
      <c r="A16" s="10" t="s">
        <v>24</v>
      </c>
      <c r="B16" s="9"/>
    </row>
    <row r="17" spans="1:9" ht="18.75">
      <c r="B17" s="4" t="s">
        <v>106</v>
      </c>
    </row>
    <row r="18" spans="1:9" ht="15.75">
      <c r="A18" s="7" t="s">
        <v>20</v>
      </c>
      <c r="I18">
        <v>1.75</v>
      </c>
    </row>
    <row r="20" spans="1:9">
      <c r="A20" t="s">
        <v>107</v>
      </c>
    </row>
    <row r="21" spans="1:9">
      <c r="A21">
        <v>2009</v>
      </c>
      <c r="B21">
        <v>1000</v>
      </c>
      <c r="C21">
        <v>100</v>
      </c>
      <c r="D21">
        <v>100</v>
      </c>
      <c r="E21">
        <v>900</v>
      </c>
      <c r="G21" s="51"/>
      <c r="H21" t="s">
        <v>134</v>
      </c>
    </row>
    <row r="22" spans="1:9">
      <c r="A22">
        <v>2010</v>
      </c>
      <c r="B22">
        <v>1000</v>
      </c>
      <c r="C22">
        <v>200</v>
      </c>
      <c r="D22" s="51">
        <v>300</v>
      </c>
      <c r="E22">
        <v>700</v>
      </c>
      <c r="G22" s="38" t="s">
        <v>135</v>
      </c>
      <c r="H22" t="s">
        <v>136</v>
      </c>
    </row>
    <row r="23" spans="1:9">
      <c r="A23">
        <v>2011</v>
      </c>
      <c r="B23">
        <v>1000</v>
      </c>
      <c r="C23" s="38">
        <v>200</v>
      </c>
      <c r="D23">
        <v>500</v>
      </c>
      <c r="E23">
        <v>500</v>
      </c>
    </row>
    <row r="24" spans="1:9">
      <c r="A24">
        <v>2012</v>
      </c>
      <c r="B24">
        <v>1000</v>
      </c>
      <c r="C24">
        <v>200</v>
      </c>
      <c r="D24">
        <v>700</v>
      </c>
      <c r="E24">
        <v>300</v>
      </c>
    </row>
    <row r="25" spans="1:9">
      <c r="A25">
        <v>2013</v>
      </c>
      <c r="B25">
        <v>1000</v>
      </c>
      <c r="C25">
        <v>200</v>
      </c>
      <c r="D25">
        <v>900</v>
      </c>
      <c r="E25">
        <v>100</v>
      </c>
    </row>
    <row r="26" spans="1:9">
      <c r="A26">
        <v>2014</v>
      </c>
      <c r="B26">
        <v>1000</v>
      </c>
      <c r="C26">
        <v>100</v>
      </c>
      <c r="D26">
        <v>1000</v>
      </c>
      <c r="E26">
        <v>0</v>
      </c>
    </row>
    <row r="28" spans="1:9">
      <c r="A28" t="s">
        <v>54</v>
      </c>
    </row>
    <row r="29" spans="1:9">
      <c r="A29">
        <v>2009</v>
      </c>
      <c r="B29">
        <v>15000</v>
      </c>
      <c r="C29">
        <v>750</v>
      </c>
      <c r="D29">
        <v>750</v>
      </c>
      <c r="E29">
        <v>14250</v>
      </c>
    </row>
    <row r="30" spans="1:9">
      <c r="A30">
        <v>2010</v>
      </c>
      <c r="B30">
        <v>15000</v>
      </c>
      <c r="C30">
        <v>1500</v>
      </c>
      <c r="D30" s="51">
        <v>2250</v>
      </c>
      <c r="E30">
        <v>12750</v>
      </c>
    </row>
    <row r="31" spans="1:9">
      <c r="A31">
        <v>2011</v>
      </c>
      <c r="B31">
        <v>15000</v>
      </c>
      <c r="C31" s="38">
        <v>1500</v>
      </c>
      <c r="D31">
        <v>3750</v>
      </c>
      <c r="E31">
        <v>11250</v>
      </c>
    </row>
    <row r="32" spans="1:9">
      <c r="A32">
        <v>2012</v>
      </c>
      <c r="B32">
        <v>15000</v>
      </c>
      <c r="C32">
        <v>1500</v>
      </c>
      <c r="D32">
        <v>5250</v>
      </c>
      <c r="E32">
        <v>9750</v>
      </c>
    </row>
    <row r="33" spans="1:13">
      <c r="A33">
        <v>2013</v>
      </c>
      <c r="B33">
        <v>15000</v>
      </c>
      <c r="C33">
        <v>1500</v>
      </c>
      <c r="D33">
        <v>6750</v>
      </c>
      <c r="E33">
        <v>8250</v>
      </c>
    </row>
    <row r="34" spans="1:13">
      <c r="A34">
        <v>2014</v>
      </c>
      <c r="B34">
        <v>15000</v>
      </c>
      <c r="C34">
        <v>1500</v>
      </c>
      <c r="D34">
        <v>8250</v>
      </c>
      <c r="E34">
        <v>6750</v>
      </c>
    </row>
    <row r="35" spans="1:13" ht="15.75">
      <c r="A35">
        <v>2014</v>
      </c>
      <c r="B35">
        <v>15000</v>
      </c>
      <c r="C35">
        <v>1500</v>
      </c>
      <c r="D35">
        <v>9750</v>
      </c>
      <c r="E35">
        <v>5250</v>
      </c>
      <c r="G35" s="4" t="s">
        <v>23</v>
      </c>
    </row>
    <row r="36" spans="1:13" ht="15.75">
      <c r="A36">
        <v>2014</v>
      </c>
      <c r="B36">
        <v>15000</v>
      </c>
      <c r="C36">
        <v>1500</v>
      </c>
      <c r="D36">
        <v>11250</v>
      </c>
      <c r="E36">
        <v>3750</v>
      </c>
      <c r="G36" s="4" t="s">
        <v>16</v>
      </c>
    </row>
    <row r="37" spans="1:13" ht="15.75">
      <c r="A37">
        <v>2014</v>
      </c>
      <c r="B37">
        <v>15000</v>
      </c>
      <c r="C37">
        <v>1500</v>
      </c>
      <c r="D37">
        <v>12750</v>
      </c>
      <c r="E37">
        <v>2250</v>
      </c>
      <c r="G37" s="4" t="s">
        <v>17</v>
      </c>
    </row>
    <row r="38" spans="1:13">
      <c r="A38">
        <v>2014</v>
      </c>
      <c r="B38">
        <v>15000</v>
      </c>
      <c r="C38">
        <v>1500</v>
      </c>
      <c r="D38">
        <v>14250</v>
      </c>
      <c r="E38">
        <v>750</v>
      </c>
    </row>
    <row r="39" spans="1:13">
      <c r="A39">
        <v>2014</v>
      </c>
      <c r="B39">
        <v>15000</v>
      </c>
      <c r="C39">
        <v>750</v>
      </c>
      <c r="D39">
        <v>15000</v>
      </c>
      <c r="E39">
        <v>0</v>
      </c>
    </row>
    <row r="41" spans="1:13">
      <c r="A41" t="s">
        <v>55</v>
      </c>
      <c r="H41" t="s">
        <v>137</v>
      </c>
      <c r="I41" s="52">
        <v>0.2</v>
      </c>
    </row>
    <row r="42" spans="1:13">
      <c r="A42" t="s">
        <v>108</v>
      </c>
      <c r="G42" t="s">
        <v>109</v>
      </c>
      <c r="H42" t="s">
        <v>110</v>
      </c>
      <c r="I42">
        <v>2.25</v>
      </c>
      <c r="J42" t="s">
        <v>111</v>
      </c>
      <c r="K42" s="40">
        <f>1/5*I42</f>
        <v>0.45</v>
      </c>
      <c r="M42" t="s">
        <v>112</v>
      </c>
    </row>
    <row r="43" spans="1:13">
      <c r="A43" s="59">
        <v>2009</v>
      </c>
      <c r="B43" s="59">
        <f>'Balance &lt;inventaire'!$D$11</f>
        <v>5000</v>
      </c>
      <c r="C43" s="60">
        <f>B43/5*110/360</f>
        <v>305.55555555555554</v>
      </c>
      <c r="D43" s="60">
        <f>C43</f>
        <v>305.55555555555554</v>
      </c>
      <c r="E43" s="60">
        <f t="shared" ref="E43:E48" si="0">5000-D43</f>
        <v>4694.4444444444443</v>
      </c>
      <c r="F43" s="53">
        <f>100/5</f>
        <v>20</v>
      </c>
      <c r="G43" s="55">
        <v>2009</v>
      </c>
      <c r="H43" s="56">
        <f>'Balance &lt;inventaire'!$D$11</f>
        <v>5000</v>
      </c>
      <c r="I43" s="56">
        <f>H43*K42*4/12</f>
        <v>750</v>
      </c>
      <c r="J43" s="56">
        <f>I43</f>
        <v>750</v>
      </c>
      <c r="K43" s="56">
        <f>5000-J43</f>
        <v>4250</v>
      </c>
      <c r="M43" s="39">
        <f>I43-C43</f>
        <v>444.44444444444446</v>
      </c>
    </row>
    <row r="44" spans="1:13">
      <c r="A44" s="59">
        <v>2010</v>
      </c>
      <c r="B44" s="59">
        <f>'Balance &lt;inventaire'!$D$11</f>
        <v>5000</v>
      </c>
      <c r="C44" s="59">
        <f>B44/5</f>
        <v>1000</v>
      </c>
      <c r="D44" s="60">
        <f>D43+C44</f>
        <v>1305.5555555555557</v>
      </c>
      <c r="E44" s="60">
        <f t="shared" si="0"/>
        <v>3694.4444444444443</v>
      </c>
      <c r="F44" s="53">
        <f>100/4</f>
        <v>25</v>
      </c>
      <c r="G44" s="55">
        <v>2010</v>
      </c>
      <c r="H44" s="56">
        <f>K43</f>
        <v>4250</v>
      </c>
      <c r="I44" s="56">
        <f>H44*$K$42</f>
        <v>1912.5</v>
      </c>
      <c r="J44" s="56">
        <f>J43+I44</f>
        <v>2662.5</v>
      </c>
      <c r="K44" s="56">
        <f>5000-J44</f>
        <v>2337.5</v>
      </c>
      <c r="M44" s="39">
        <f>I44-C44</f>
        <v>912.5</v>
      </c>
    </row>
    <row r="45" spans="1:13">
      <c r="A45" s="59">
        <v>2011</v>
      </c>
      <c r="B45" s="59">
        <f>'Balance &lt;inventaire'!$D$11</f>
        <v>5000</v>
      </c>
      <c r="C45" s="61">
        <f>B45/5</f>
        <v>1000</v>
      </c>
      <c r="D45" s="60">
        <f>D44+C45</f>
        <v>2305.5555555555557</v>
      </c>
      <c r="E45" s="60">
        <f t="shared" si="0"/>
        <v>2694.4444444444443</v>
      </c>
      <c r="F45" s="53">
        <f>100/3</f>
        <v>33.333333333333336</v>
      </c>
      <c r="G45" s="55">
        <v>2011</v>
      </c>
      <c r="H45" s="56">
        <f>K44</f>
        <v>2337.5</v>
      </c>
      <c r="I45" s="56">
        <f>H45*$K$42</f>
        <v>1051.875</v>
      </c>
      <c r="J45" s="56">
        <f>J44+I45</f>
        <v>3714.375</v>
      </c>
      <c r="K45" s="56">
        <f>5000-J45</f>
        <v>1285.625</v>
      </c>
      <c r="M45" s="41">
        <f>I45-C45</f>
        <v>51.875</v>
      </c>
    </row>
    <row r="46" spans="1:13">
      <c r="A46" s="59">
        <v>2012</v>
      </c>
      <c r="B46" s="59">
        <f>'Balance &lt;inventaire'!$D$11</f>
        <v>5000</v>
      </c>
      <c r="C46" s="59">
        <f>B46/5</f>
        <v>1000</v>
      </c>
      <c r="D46" s="60">
        <f>D45+C46</f>
        <v>3305.5555555555557</v>
      </c>
      <c r="E46" s="60">
        <f t="shared" si="0"/>
        <v>1694.4444444444443</v>
      </c>
      <c r="F46" s="53">
        <f>100/2</f>
        <v>50</v>
      </c>
      <c r="G46" s="55">
        <v>2012</v>
      </c>
      <c r="H46" s="56">
        <f>K45</f>
        <v>1285.625</v>
      </c>
      <c r="I46" s="56">
        <f>H46/2</f>
        <v>642.8125</v>
      </c>
      <c r="J46" s="56">
        <f>J45+I46</f>
        <v>4357.1875</v>
      </c>
      <c r="K46" s="56">
        <f>5000-J46</f>
        <v>642.8125</v>
      </c>
      <c r="M46" s="39">
        <f>I46-C46</f>
        <v>-357.1875</v>
      </c>
    </row>
    <row r="47" spans="1:13">
      <c r="A47" s="59">
        <v>2013</v>
      </c>
      <c r="B47" s="59">
        <f>'Balance &lt;inventaire'!$D$11</f>
        <v>5000</v>
      </c>
      <c r="C47" s="59">
        <f>B47/5</f>
        <v>1000</v>
      </c>
      <c r="D47" s="60">
        <f>D46+C47</f>
        <v>4305.5555555555557</v>
      </c>
      <c r="E47" s="60">
        <f t="shared" si="0"/>
        <v>694.44444444444434</v>
      </c>
      <c r="F47" s="53">
        <f>100</f>
        <v>100</v>
      </c>
      <c r="G47" s="55">
        <v>2013</v>
      </c>
      <c r="H47" s="56">
        <f>K46</f>
        <v>642.8125</v>
      </c>
      <c r="I47" s="56">
        <f>H47</f>
        <v>642.8125</v>
      </c>
      <c r="J47" s="56">
        <f>J46+I47</f>
        <v>5000</v>
      </c>
      <c r="K47" s="56">
        <f>5000-J47</f>
        <v>0</v>
      </c>
      <c r="M47" s="39">
        <f>I47-C47</f>
        <v>-357.1875</v>
      </c>
    </row>
    <row r="48" spans="1:13">
      <c r="A48" s="59">
        <v>2014</v>
      </c>
      <c r="B48" s="59">
        <f>'Balance &lt;inventaire'!$D$11</f>
        <v>5000</v>
      </c>
      <c r="C48" s="60">
        <f>C47-C43</f>
        <v>694.44444444444446</v>
      </c>
      <c r="D48" s="60">
        <f>D47+C48</f>
        <v>5000</v>
      </c>
      <c r="E48" s="60">
        <f t="shared" si="0"/>
        <v>0</v>
      </c>
      <c r="F48" s="54"/>
      <c r="G48" s="55"/>
      <c r="H48" s="56"/>
      <c r="I48" s="56"/>
      <c r="J48" s="56"/>
      <c r="K48" s="56"/>
    </row>
    <row r="50" spans="1:14">
      <c r="A50" t="s">
        <v>56</v>
      </c>
    </row>
    <row r="51" spans="1:14">
      <c r="A51" t="s">
        <v>108</v>
      </c>
      <c r="G51" t="s">
        <v>109</v>
      </c>
      <c r="H51" t="s">
        <v>110</v>
      </c>
      <c r="I51">
        <v>1.75</v>
      </c>
      <c r="J51" t="s">
        <v>111</v>
      </c>
      <c r="K51" s="40">
        <f>1/5*I51</f>
        <v>0.35000000000000003</v>
      </c>
      <c r="M51" t="s">
        <v>112</v>
      </c>
    </row>
    <row r="52" spans="1:14">
      <c r="A52" s="55">
        <v>2010</v>
      </c>
      <c r="B52" s="55">
        <f>'Balance &lt;inventaire'!$D$12</f>
        <v>10000</v>
      </c>
      <c r="C52" s="56">
        <f>B52/5*9/12</f>
        <v>1500</v>
      </c>
      <c r="D52" s="56">
        <f>C52</f>
        <v>1500</v>
      </c>
      <c r="E52" s="56">
        <f t="shared" ref="E52:E57" si="1">10000-D52</f>
        <v>8500</v>
      </c>
      <c r="G52" s="55">
        <v>2010</v>
      </c>
      <c r="H52" s="56">
        <f>B52</f>
        <v>10000</v>
      </c>
      <c r="I52" s="56">
        <f>H52*K51*9/12</f>
        <v>2625.0000000000005</v>
      </c>
      <c r="J52" s="56">
        <f>I52</f>
        <v>2625.0000000000005</v>
      </c>
      <c r="K52" s="56">
        <f>10000-J52</f>
        <v>7375</v>
      </c>
      <c r="M52" s="39">
        <f>I52-C52</f>
        <v>1125.0000000000005</v>
      </c>
    </row>
    <row r="53" spans="1:14">
      <c r="A53" s="55">
        <v>2011</v>
      </c>
      <c r="B53" s="55">
        <f>'Balance &lt;inventaire'!$D$12</f>
        <v>10000</v>
      </c>
      <c r="C53" s="57">
        <f>B53/5</f>
        <v>2000</v>
      </c>
      <c r="D53" s="56">
        <f>D52+C53</f>
        <v>3500</v>
      </c>
      <c r="E53" s="56">
        <f t="shared" si="1"/>
        <v>6500</v>
      </c>
      <c r="G53" s="55">
        <v>2011</v>
      </c>
      <c r="H53" s="56">
        <f>K52</f>
        <v>7375</v>
      </c>
      <c r="I53" s="56">
        <f>H53*$K$51</f>
        <v>2581.2500000000005</v>
      </c>
      <c r="J53" s="56">
        <f>J52+I53</f>
        <v>5206.2500000000009</v>
      </c>
      <c r="K53" s="56">
        <f>10000-J53</f>
        <v>4793.7499999999991</v>
      </c>
      <c r="M53" s="41">
        <f>I53-C53</f>
        <v>581.25000000000045</v>
      </c>
    </row>
    <row r="54" spans="1:14">
      <c r="A54" s="55">
        <v>2012</v>
      </c>
      <c r="B54" s="55">
        <f>'Balance &lt;inventaire'!$D$12</f>
        <v>10000</v>
      </c>
      <c r="C54" s="58">
        <f>B54/5</f>
        <v>2000</v>
      </c>
      <c r="D54" s="56">
        <f>D53+C54</f>
        <v>5500</v>
      </c>
      <c r="E54" s="56">
        <f t="shared" si="1"/>
        <v>4500</v>
      </c>
      <c r="G54" s="55">
        <v>2012</v>
      </c>
      <c r="H54" s="56">
        <f>K53</f>
        <v>4793.7499999999991</v>
      </c>
      <c r="I54" s="56">
        <f>H54*$K$51</f>
        <v>1677.8124999999998</v>
      </c>
      <c r="J54" s="56">
        <f>J53+I54</f>
        <v>6884.0625000000009</v>
      </c>
      <c r="K54" s="56">
        <f>10000-J54</f>
        <v>3115.9374999999991</v>
      </c>
      <c r="M54" s="42">
        <f>I54-C54</f>
        <v>-322.18750000000023</v>
      </c>
    </row>
    <row r="55" spans="1:14">
      <c r="A55" s="55">
        <v>2013</v>
      </c>
      <c r="B55" s="55">
        <f>'Balance &lt;inventaire'!$D$12</f>
        <v>10000</v>
      </c>
      <c r="C55" s="55">
        <f>B55/5</f>
        <v>2000</v>
      </c>
      <c r="D55" s="56">
        <f>D54+C55</f>
        <v>7500</v>
      </c>
      <c r="E55" s="56">
        <f t="shared" si="1"/>
        <v>2500</v>
      </c>
      <c r="G55" s="55">
        <v>2013</v>
      </c>
      <c r="H55" s="56">
        <f>K54</f>
        <v>3115.9374999999991</v>
      </c>
      <c r="I55" s="56">
        <f>H55*0.5</f>
        <v>1557.9687499999995</v>
      </c>
      <c r="J55" s="56">
        <f>J54+I55</f>
        <v>8442.03125</v>
      </c>
      <c r="K55" s="56">
        <f>10000-J55</f>
        <v>1557.96875</v>
      </c>
      <c r="M55" s="39">
        <f>I55-C55</f>
        <v>-442.03125000000045</v>
      </c>
    </row>
    <row r="56" spans="1:14">
      <c r="A56" s="55">
        <v>2014</v>
      </c>
      <c r="B56" s="55">
        <f>'Balance &lt;inventaire'!$D$12</f>
        <v>10000</v>
      </c>
      <c r="C56" s="55">
        <f>B56/5</f>
        <v>2000</v>
      </c>
      <c r="D56" s="56">
        <f>D55+C56</f>
        <v>9500</v>
      </c>
      <c r="E56" s="56">
        <f t="shared" si="1"/>
        <v>500</v>
      </c>
      <c r="G56" s="55">
        <v>2014</v>
      </c>
      <c r="H56" s="56">
        <f>K55</f>
        <v>1557.96875</v>
      </c>
      <c r="I56" s="56">
        <f>H56</f>
        <v>1557.96875</v>
      </c>
      <c r="J56" s="56">
        <f>J55+I56</f>
        <v>10000</v>
      </c>
      <c r="K56" s="56">
        <f>10000-J56</f>
        <v>0</v>
      </c>
      <c r="M56" s="39">
        <f>I56-C56</f>
        <v>-442.03125</v>
      </c>
    </row>
    <row r="57" spans="1:14">
      <c r="A57" s="55">
        <v>2015</v>
      </c>
      <c r="B57" s="55">
        <f>'Balance &lt;inventaire'!$D$12</f>
        <v>10000</v>
      </c>
      <c r="C57" s="56">
        <f>C56-C52</f>
        <v>500</v>
      </c>
      <c r="D57" s="56">
        <f>D56+C57</f>
        <v>10000</v>
      </c>
      <c r="E57" s="56">
        <f t="shared" si="1"/>
        <v>0</v>
      </c>
      <c r="G57" s="55"/>
      <c r="H57" s="55"/>
      <c r="I57" s="55"/>
      <c r="J57" s="55"/>
      <c r="K57" s="55"/>
    </row>
    <row r="58" spans="1:14">
      <c r="A58" t="s">
        <v>57</v>
      </c>
    </row>
    <row r="59" spans="1:14">
      <c r="A59" t="s">
        <v>108</v>
      </c>
      <c r="G59" t="s">
        <v>109</v>
      </c>
      <c r="H59" t="s">
        <v>110</v>
      </c>
      <c r="I59">
        <v>1.75</v>
      </c>
      <c r="J59" t="s">
        <v>111</v>
      </c>
      <c r="K59" s="40">
        <f>1/3*I59</f>
        <v>0.58333333333333326</v>
      </c>
      <c r="M59" t="s">
        <v>112</v>
      </c>
    </row>
    <row r="60" spans="1:14">
      <c r="A60" s="55">
        <v>2009</v>
      </c>
      <c r="B60" s="55">
        <f>'Balance &lt;inventaire'!$D$13</f>
        <v>12000</v>
      </c>
      <c r="C60" s="56">
        <f>B60/3*6/12</f>
        <v>2000</v>
      </c>
      <c r="D60" s="56">
        <f>C60</f>
        <v>2000</v>
      </c>
      <c r="E60" s="56">
        <f>B60-D60</f>
        <v>10000</v>
      </c>
      <c r="G60" s="55">
        <v>2009</v>
      </c>
      <c r="H60" s="56">
        <f>B60</f>
        <v>12000</v>
      </c>
      <c r="I60" s="56">
        <f>H60*K59*6/12</f>
        <v>3499.9999999999995</v>
      </c>
      <c r="J60" s="56">
        <f>I60</f>
        <v>3499.9999999999995</v>
      </c>
      <c r="K60" s="56">
        <f>12000-J60</f>
        <v>8500</v>
      </c>
      <c r="M60" s="39">
        <f>I60-C60</f>
        <v>1499.9999999999995</v>
      </c>
    </row>
    <row r="61" spans="1:14">
      <c r="A61" s="55">
        <v>2010</v>
      </c>
      <c r="B61" s="55">
        <f>'Balance &lt;inventaire'!$D$13</f>
        <v>12000</v>
      </c>
      <c r="C61" s="55">
        <f>B61/3</f>
        <v>4000</v>
      </c>
      <c r="D61" s="56">
        <f>D60+C61</f>
        <v>6000</v>
      </c>
      <c r="E61" s="56">
        <f>B61-D61</f>
        <v>6000</v>
      </c>
      <c r="G61" s="55">
        <v>2010</v>
      </c>
      <c r="H61" s="56">
        <f>K60</f>
        <v>8500</v>
      </c>
      <c r="I61" s="56">
        <f>H61*K59</f>
        <v>4958.333333333333</v>
      </c>
      <c r="J61" s="56">
        <f>J60+I61</f>
        <v>8458.3333333333321</v>
      </c>
      <c r="K61" s="56">
        <f>12000-J61</f>
        <v>3541.6666666666679</v>
      </c>
      <c r="M61" s="39">
        <f>I61-C61</f>
        <v>958.33333333333303</v>
      </c>
      <c r="N61" s="39">
        <f>M43+M44+M52+M60+M61</f>
        <v>4940.2777777777774</v>
      </c>
    </row>
    <row r="62" spans="1:14">
      <c r="A62" s="55">
        <v>2011</v>
      </c>
      <c r="B62" s="55">
        <f>'Balance &lt;inventaire'!$D$13</f>
        <v>12000</v>
      </c>
      <c r="C62" s="57">
        <f>B62/3</f>
        <v>4000</v>
      </c>
      <c r="D62" s="56">
        <f>D61+C62</f>
        <v>10000</v>
      </c>
      <c r="E62" s="56">
        <f>B62-D62</f>
        <v>2000</v>
      </c>
      <c r="G62" s="55">
        <v>2011</v>
      </c>
      <c r="H62" s="56">
        <f>K61</f>
        <v>3541.6666666666679</v>
      </c>
      <c r="I62" s="56">
        <f>H62</f>
        <v>3541.6666666666679</v>
      </c>
      <c r="J62" s="56">
        <f>J61+I62</f>
        <v>12000</v>
      </c>
      <c r="K62" s="56">
        <f>12000-J62</f>
        <v>0</v>
      </c>
      <c r="M62" s="41">
        <f>I62-C62</f>
        <v>-458.33333333333212</v>
      </c>
    </row>
    <row r="63" spans="1:14">
      <c r="A63" s="55">
        <v>2012</v>
      </c>
      <c r="B63" s="55">
        <f>'Balance &lt;inventaire'!$D$13</f>
        <v>12000</v>
      </c>
      <c r="C63" s="56">
        <f>C62-C60</f>
        <v>2000</v>
      </c>
      <c r="D63" s="56">
        <f>D62+C63</f>
        <v>12000</v>
      </c>
      <c r="E63" s="56">
        <f>B63-D63</f>
        <v>0</v>
      </c>
      <c r="G63" s="55"/>
      <c r="H63" s="56"/>
      <c r="I63" s="56"/>
      <c r="J63" s="56"/>
      <c r="K63" s="56"/>
      <c r="M63" s="39"/>
    </row>
    <row r="65" spans="1:6">
      <c r="A65">
        <v>681</v>
      </c>
      <c r="E65">
        <v>8700</v>
      </c>
    </row>
    <row r="66" spans="1:6">
      <c r="B66">
        <v>2801</v>
      </c>
      <c r="F66">
        <v>200</v>
      </c>
    </row>
    <row r="67" spans="1:6">
      <c r="B67">
        <v>2813</v>
      </c>
      <c r="F67">
        <v>1500</v>
      </c>
    </row>
    <row r="68" spans="1:6">
      <c r="B68">
        <v>2815</v>
      </c>
      <c r="F68">
        <v>1000</v>
      </c>
    </row>
    <row r="69" spans="1:6">
      <c r="B69">
        <v>28182</v>
      </c>
      <c r="F69">
        <v>2000</v>
      </c>
    </row>
    <row r="70" spans="1:6">
      <c r="B70">
        <v>28183</v>
      </c>
      <c r="F70">
        <v>4000</v>
      </c>
    </row>
    <row r="71" spans="1:6" ht="9" customHeight="1"/>
    <row r="72" spans="1:6">
      <c r="A72">
        <v>687</v>
      </c>
      <c r="E72" s="39">
        <v>633</v>
      </c>
    </row>
    <row r="73" spans="1:6">
      <c r="B73">
        <v>145</v>
      </c>
      <c r="F73" s="39">
        <v>633</v>
      </c>
    </row>
    <row r="75" spans="1:6">
      <c r="A75">
        <v>145</v>
      </c>
      <c r="E75" s="39">
        <v>458</v>
      </c>
    </row>
    <row r="76" spans="1:6">
      <c r="B76">
        <v>787</v>
      </c>
      <c r="F76" s="39">
        <v>458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C21" sqref="C21"/>
    </sheetView>
  </sheetViews>
  <sheetFormatPr baseColWidth="10" defaultRowHeight="15"/>
  <cols>
    <col min="2" max="2" width="32.140625" customWidth="1"/>
  </cols>
  <sheetData>
    <row r="1" spans="1:4" ht="18.75">
      <c r="A1" s="12" t="s">
        <v>25</v>
      </c>
    </row>
    <row r="3" spans="1:4" ht="15.75">
      <c r="A3" s="4" t="s">
        <v>26</v>
      </c>
    </row>
    <row r="5" spans="1:4" ht="15.75">
      <c r="A5" s="17">
        <v>31</v>
      </c>
      <c r="B5" s="18" t="s">
        <v>27</v>
      </c>
      <c r="C5" s="16">
        <v>10000</v>
      </c>
    </row>
    <row r="6" spans="1:4" ht="15.75">
      <c r="A6" s="17">
        <v>35</v>
      </c>
      <c r="B6" s="18" t="s">
        <v>28</v>
      </c>
      <c r="C6" s="16">
        <v>24000</v>
      </c>
    </row>
    <row r="7" spans="1:4" ht="31.5">
      <c r="A7" s="17">
        <v>391</v>
      </c>
      <c r="B7" s="18" t="s">
        <v>29</v>
      </c>
      <c r="C7" s="16">
        <v>400</v>
      </c>
    </row>
    <row r="10" spans="1:4" ht="15.75">
      <c r="A10" s="43">
        <v>6031</v>
      </c>
      <c r="C10">
        <f>'Balance &lt;inventaire'!D22</f>
        <v>12000</v>
      </c>
    </row>
    <row r="11" spans="1:4" ht="15.75">
      <c r="A11" s="45">
        <v>31</v>
      </c>
      <c r="D11">
        <f>C10</f>
        <v>12000</v>
      </c>
    </row>
    <row r="12" spans="1:4" ht="15.75">
      <c r="A12" s="43">
        <v>31</v>
      </c>
      <c r="C12" s="46">
        <f>C5</f>
        <v>10000</v>
      </c>
    </row>
    <row r="13" spans="1:4" ht="15.75">
      <c r="A13" s="45">
        <v>6031</v>
      </c>
      <c r="D13">
        <f t="shared" ref="D13:D21" si="0">C12</f>
        <v>10000</v>
      </c>
    </row>
    <row r="14" spans="1:4" ht="15.75">
      <c r="A14" s="43">
        <v>7135</v>
      </c>
      <c r="B14" s="44"/>
      <c r="C14">
        <f>'Balance &lt;inventaire'!D23</f>
        <v>25000</v>
      </c>
    </row>
    <row r="15" spans="1:4" ht="15.75">
      <c r="A15" s="45">
        <v>35</v>
      </c>
      <c r="D15">
        <f t="shared" si="0"/>
        <v>25000</v>
      </c>
    </row>
    <row r="16" spans="1:4" ht="15.75">
      <c r="A16" s="43">
        <v>35</v>
      </c>
      <c r="C16" s="46">
        <f>C6</f>
        <v>24000</v>
      </c>
    </row>
    <row r="17" spans="1:4" ht="15.75">
      <c r="A17" s="45">
        <v>7135</v>
      </c>
      <c r="D17">
        <f t="shared" si="0"/>
        <v>24000</v>
      </c>
    </row>
    <row r="18" spans="1:4" ht="15.75">
      <c r="A18" s="43">
        <v>681</v>
      </c>
      <c r="C18" s="46">
        <f>C7</f>
        <v>400</v>
      </c>
    </row>
    <row r="19" spans="1:4" ht="15.75">
      <c r="A19" s="45">
        <v>391</v>
      </c>
      <c r="D19">
        <f t="shared" si="0"/>
        <v>400</v>
      </c>
    </row>
    <row r="20" spans="1:4" ht="15.75">
      <c r="A20" s="43">
        <v>391</v>
      </c>
      <c r="C20">
        <f>'Balance &lt;inventaire'!E24</f>
        <v>600</v>
      </c>
    </row>
    <row r="21" spans="1:4" ht="15.75">
      <c r="A21" s="45">
        <v>781</v>
      </c>
      <c r="D21">
        <f t="shared" si="0"/>
        <v>600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H12" sqref="H12"/>
    </sheetView>
  </sheetViews>
  <sheetFormatPr baseColWidth="10" defaultRowHeight="15"/>
  <cols>
    <col min="7" max="7" width="17.7109375" customWidth="1"/>
  </cols>
  <sheetData>
    <row r="1" spans="1:5" ht="18.75">
      <c r="A1" s="12" t="s">
        <v>32</v>
      </c>
    </row>
    <row r="3" spans="1:5" ht="15.75">
      <c r="A3" s="4">
        <v>3</v>
      </c>
      <c r="B3" s="4" t="s">
        <v>132</v>
      </c>
    </row>
    <row r="4" spans="1:5" ht="15.75">
      <c r="B4" s="4" t="s">
        <v>30</v>
      </c>
    </row>
    <row r="6" spans="1:5" ht="15.75">
      <c r="A6">
        <v>4</v>
      </c>
      <c r="B6" s="4" t="s">
        <v>138</v>
      </c>
    </row>
    <row r="7" spans="1:5" ht="15.75">
      <c r="B7" s="19" t="s">
        <v>31</v>
      </c>
    </row>
    <row r="8" spans="1:5">
      <c r="B8" s="38"/>
    </row>
    <row r="10" spans="1:5">
      <c r="A10">
        <v>601</v>
      </c>
      <c r="D10">
        <v>3000</v>
      </c>
    </row>
    <row r="11" spans="1:5">
      <c r="B11">
        <v>4081</v>
      </c>
      <c r="E11">
        <v>3000</v>
      </c>
    </row>
    <row r="13" spans="1:5">
      <c r="A13">
        <v>486</v>
      </c>
      <c r="D13">
        <f>18000/12*10</f>
        <v>15000</v>
      </c>
    </row>
    <row r="14" spans="1:5">
      <c r="B14">
        <v>616</v>
      </c>
      <c r="E14">
        <f>D13</f>
        <v>15000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topLeftCell="A5" workbookViewId="0">
      <selection activeCell="D19" sqref="D19"/>
    </sheetView>
  </sheetViews>
  <sheetFormatPr baseColWidth="10" defaultRowHeight="15"/>
  <cols>
    <col min="1" max="1" width="7.5703125" customWidth="1"/>
    <col min="2" max="2" width="16.42578125" customWidth="1"/>
    <col min="4" max="4" width="15.28515625" customWidth="1"/>
    <col min="5" max="5" width="26.85546875" customWidth="1"/>
  </cols>
  <sheetData>
    <row r="1" spans="1:5" ht="18.75">
      <c r="A1" s="12" t="s">
        <v>34</v>
      </c>
    </row>
    <row r="3" spans="1:5" ht="15.75">
      <c r="A3" s="4">
        <v>5</v>
      </c>
      <c r="B3" s="4" t="s">
        <v>33</v>
      </c>
    </row>
    <row r="4" spans="1:5" ht="15.75" thickBot="1"/>
    <row r="5" spans="1:5" ht="16.5" thickBot="1">
      <c r="B5" s="20" t="s">
        <v>35</v>
      </c>
      <c r="C5" s="13" t="s">
        <v>36</v>
      </c>
      <c r="D5" s="13" t="s">
        <v>37</v>
      </c>
      <c r="E5" s="13" t="s">
        <v>38</v>
      </c>
    </row>
    <row r="6" spans="1:5" ht="36" customHeight="1" thickBot="1">
      <c r="B6" s="21" t="s">
        <v>39</v>
      </c>
      <c r="C6" s="22">
        <v>180</v>
      </c>
      <c r="D6" s="22">
        <v>110</v>
      </c>
      <c r="E6" s="14" t="s">
        <v>40</v>
      </c>
    </row>
    <row r="7" spans="1:5" ht="58.5" customHeight="1" thickBot="1">
      <c r="B7" s="21" t="s">
        <v>41</v>
      </c>
      <c r="C7" s="22">
        <v>120</v>
      </c>
      <c r="D7" s="22">
        <v>90</v>
      </c>
      <c r="E7" s="14" t="s">
        <v>42</v>
      </c>
    </row>
    <row r="9" spans="1:5" ht="15.75">
      <c r="B9" s="4" t="s">
        <v>43</v>
      </c>
    </row>
    <row r="10" spans="1:5" ht="15.75">
      <c r="B10" s="4" t="s">
        <v>44</v>
      </c>
    </row>
    <row r="11" spans="1:5" ht="15.75">
      <c r="B11" s="4"/>
    </row>
    <row r="12" spans="1:5">
      <c r="A12" s="47">
        <v>654</v>
      </c>
      <c r="C12">
        <v>180</v>
      </c>
    </row>
    <row r="13" spans="1:5">
      <c r="A13">
        <v>416</v>
      </c>
      <c r="D13">
        <v>180</v>
      </c>
    </row>
    <row r="15" spans="1:5">
      <c r="A15" s="47">
        <v>491</v>
      </c>
      <c r="C15">
        <v>110</v>
      </c>
    </row>
    <row r="16" spans="1:5">
      <c r="A16">
        <v>781</v>
      </c>
      <c r="D16">
        <v>110</v>
      </c>
    </row>
    <row r="18" spans="1:4">
      <c r="A18" s="47">
        <v>681</v>
      </c>
      <c r="C18">
        <v>10</v>
      </c>
    </row>
    <row r="19" spans="1:4">
      <c r="A19">
        <v>491</v>
      </c>
      <c r="D19">
        <v>10</v>
      </c>
    </row>
    <row r="21" spans="1:4">
      <c r="A21" s="47">
        <v>416</v>
      </c>
      <c r="C21">
        <v>1000</v>
      </c>
    </row>
    <row r="22" spans="1:4">
      <c r="A22">
        <v>411</v>
      </c>
      <c r="D22">
        <v>1000</v>
      </c>
    </row>
    <row r="24" spans="1:4">
      <c r="A24" s="47">
        <v>681</v>
      </c>
      <c r="C24">
        <v>700</v>
      </c>
    </row>
    <row r="25" spans="1:4">
      <c r="A25">
        <v>491</v>
      </c>
      <c r="D25">
        <v>700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26" workbookViewId="0">
      <selection activeCell="G48" sqref="G48"/>
    </sheetView>
  </sheetViews>
  <sheetFormatPr baseColWidth="10" defaultRowHeight="15"/>
  <cols>
    <col min="1" max="1" width="25.85546875" customWidth="1"/>
    <col min="4" max="4" width="13.5703125" bestFit="1" customWidth="1"/>
    <col min="6" max="6" width="41.7109375" customWidth="1"/>
    <col min="7" max="7" width="15.5703125" bestFit="1" customWidth="1"/>
  </cols>
  <sheetData>
    <row r="1" spans="1:7">
      <c r="A1" s="15" t="s">
        <v>116</v>
      </c>
      <c r="F1" s="15" t="s">
        <v>118</v>
      </c>
    </row>
    <row r="2" spans="1:7">
      <c r="A2" s="49" t="s">
        <v>114</v>
      </c>
      <c r="F2" s="49" t="s">
        <v>119</v>
      </c>
    </row>
    <row r="3" spans="1:7">
      <c r="A3" t="s">
        <v>53</v>
      </c>
      <c r="B3">
        <f>'Balance &lt;inventaire'!G9</f>
        <v>1000</v>
      </c>
      <c r="C3">
        <f>'Balance &lt;inventaire'!H17</f>
        <v>500</v>
      </c>
      <c r="D3">
        <f>B3-C3</f>
        <v>500</v>
      </c>
      <c r="F3" t="s">
        <v>48</v>
      </c>
      <c r="G3">
        <f>'Balance &lt;inventaire'!H4</f>
        <v>40000</v>
      </c>
    </row>
    <row r="4" spans="1:7">
      <c r="A4" t="s">
        <v>54</v>
      </c>
      <c r="B4">
        <f>'Balance &lt;inventaire'!G10</f>
        <v>15000</v>
      </c>
      <c r="C4">
        <f>'Balance &lt;inventaire'!H18</f>
        <v>3750</v>
      </c>
      <c r="D4">
        <f t="shared" ref="D4:D17" si="0">B4-C4</f>
        <v>11250</v>
      </c>
      <c r="F4" t="s">
        <v>49</v>
      </c>
      <c r="G4">
        <f>'Balance &lt;inventaire'!H5</f>
        <v>0</v>
      </c>
    </row>
    <row r="5" spans="1:7">
      <c r="A5" t="s">
        <v>55</v>
      </c>
      <c r="B5">
        <f>'Balance &lt;inventaire'!G11</f>
        <v>5000</v>
      </c>
      <c r="C5">
        <f>'Balance &lt;inventaire'!H19</f>
        <v>2305</v>
      </c>
      <c r="D5">
        <f t="shared" si="0"/>
        <v>2695</v>
      </c>
      <c r="F5" t="s">
        <v>50</v>
      </c>
      <c r="G5">
        <f>'Balance &lt;inventaire'!H6</f>
        <v>-2000</v>
      </c>
    </row>
    <row r="6" spans="1:7">
      <c r="A6" t="s">
        <v>56</v>
      </c>
      <c r="B6">
        <f>'Balance &lt;inventaire'!G12</f>
        <v>10000</v>
      </c>
      <c r="C6">
        <f>'Balance &lt;inventaire'!H20</f>
        <v>3500</v>
      </c>
      <c r="D6">
        <f t="shared" si="0"/>
        <v>6500</v>
      </c>
      <c r="F6" t="s">
        <v>121</v>
      </c>
      <c r="G6" s="39">
        <f>'Balance &lt;inventaire'!I38</f>
        <v>15172</v>
      </c>
    </row>
    <row r="7" spans="1:7">
      <c r="A7" t="s">
        <v>57</v>
      </c>
      <c r="B7">
        <f>'Balance &lt;inventaire'!G13</f>
        <v>12000</v>
      </c>
      <c r="C7">
        <f>'Balance &lt;inventaire'!H21</f>
        <v>10000</v>
      </c>
      <c r="D7">
        <f t="shared" si="0"/>
        <v>2000</v>
      </c>
    </row>
    <row r="8" spans="1:7">
      <c r="A8" t="s">
        <v>60</v>
      </c>
      <c r="B8">
        <f>'Balance &lt;inventaire'!G16</f>
        <v>500</v>
      </c>
      <c r="C8">
        <v>0</v>
      </c>
      <c r="D8">
        <f t="shared" si="0"/>
        <v>500</v>
      </c>
      <c r="F8" s="49" t="s">
        <v>51</v>
      </c>
      <c r="G8" s="39">
        <f>'Balance &lt;inventaire'!H7</f>
        <v>5407</v>
      </c>
    </row>
    <row r="9" spans="1:7">
      <c r="A9" t="s">
        <v>58</v>
      </c>
      <c r="B9">
        <f>'Balance &lt;inventaire'!G14</f>
        <v>10311</v>
      </c>
      <c r="C9">
        <f>'Balance &lt;inventaire'!H15</f>
        <v>360</v>
      </c>
      <c r="D9">
        <f t="shared" si="0"/>
        <v>9951</v>
      </c>
    </row>
    <row r="10" spans="1:7">
      <c r="A10" s="49" t="s">
        <v>115</v>
      </c>
      <c r="F10" s="49" t="s">
        <v>120</v>
      </c>
    </row>
    <row r="11" spans="1:7">
      <c r="A11" t="s">
        <v>66</v>
      </c>
      <c r="B11">
        <f>'Balance &lt;inventaire'!G22</f>
        <v>10000</v>
      </c>
      <c r="C11">
        <f>'Balance &lt;inventaire'!H24</f>
        <v>400</v>
      </c>
      <c r="D11">
        <f t="shared" si="0"/>
        <v>9600</v>
      </c>
      <c r="F11" t="s">
        <v>52</v>
      </c>
      <c r="G11">
        <f>'Balance &lt;inventaire'!H8</f>
        <v>9000</v>
      </c>
    </row>
    <row r="12" spans="1:7">
      <c r="A12" t="s">
        <v>67</v>
      </c>
      <c r="B12">
        <f>'Balance &lt;inventaire'!G23</f>
        <v>24000</v>
      </c>
      <c r="C12">
        <v>0</v>
      </c>
      <c r="D12">
        <f t="shared" si="0"/>
        <v>24000</v>
      </c>
      <c r="F12" t="s">
        <v>69</v>
      </c>
      <c r="G12">
        <f>'Balance &lt;inventaire'!H25+'Balance &lt;inventaire'!H26</f>
        <v>49278</v>
      </c>
    </row>
    <row r="13" spans="1:7">
      <c r="A13" t="s">
        <v>70</v>
      </c>
      <c r="B13">
        <f>'Balance &lt;inventaire'!G27+'Balance &lt;inventaire'!G28+'Balance &lt;inventaire'!G29</f>
        <v>15120</v>
      </c>
      <c r="C13">
        <f>'Balance &lt;inventaire'!H31</f>
        <v>800</v>
      </c>
      <c r="D13">
        <f t="shared" si="0"/>
        <v>14320</v>
      </c>
      <c r="F13" t="s">
        <v>74</v>
      </c>
      <c r="G13">
        <f>'Balance &lt;inventaire'!H32</f>
        <v>5200</v>
      </c>
    </row>
    <row r="14" spans="1:7">
      <c r="A14" t="s">
        <v>77</v>
      </c>
      <c r="B14">
        <f>'Balance &lt;inventaire'!G35</f>
        <v>1000</v>
      </c>
      <c r="C14">
        <v>0</v>
      </c>
      <c r="D14">
        <f t="shared" si="0"/>
        <v>1000</v>
      </c>
      <c r="F14" t="s">
        <v>75</v>
      </c>
      <c r="G14">
        <f>'Balance &lt;inventaire'!H33</f>
        <v>2000</v>
      </c>
    </row>
    <row r="15" spans="1:7">
      <c r="A15" t="s">
        <v>78</v>
      </c>
      <c r="B15">
        <f>'Balance &lt;inventaire'!G36</f>
        <v>27241</v>
      </c>
      <c r="C15">
        <v>0</v>
      </c>
      <c r="D15">
        <f t="shared" si="0"/>
        <v>27241</v>
      </c>
      <c r="F15" t="s">
        <v>76</v>
      </c>
      <c r="G15">
        <f>'Balance &lt;inventaire'!H34</f>
        <v>1500</v>
      </c>
    </row>
    <row r="16" spans="1:7">
      <c r="A16" t="s">
        <v>79</v>
      </c>
      <c r="B16">
        <f>'Balance &lt;inventaire'!G37</f>
        <v>1000</v>
      </c>
      <c r="C16">
        <v>0</v>
      </c>
      <c r="D16">
        <f t="shared" si="0"/>
        <v>1000</v>
      </c>
    </row>
    <row r="17" spans="1:8">
      <c r="A17" t="s">
        <v>117</v>
      </c>
      <c r="B17">
        <f>'Balance &lt;inventaire'!G30</f>
        <v>15000</v>
      </c>
      <c r="C17">
        <v>0</v>
      </c>
      <c r="D17">
        <f t="shared" si="0"/>
        <v>15000</v>
      </c>
    </row>
    <row r="19" spans="1:8">
      <c r="B19">
        <f>SUM(B3:B17)</f>
        <v>147172</v>
      </c>
      <c r="C19">
        <f>SUM(C3:C17)</f>
        <v>21615</v>
      </c>
      <c r="D19">
        <f>SUM(D3:D17)</f>
        <v>125557</v>
      </c>
      <c r="G19" s="39">
        <f>SUM(G3:G17)</f>
        <v>125557</v>
      </c>
    </row>
    <row r="22" spans="1:8">
      <c r="A22" t="s">
        <v>122</v>
      </c>
      <c r="B22" s="38" t="s">
        <v>142</v>
      </c>
      <c r="E22" s="39"/>
    </row>
    <row r="23" spans="1:8">
      <c r="A23" t="s">
        <v>123</v>
      </c>
      <c r="F23" t="s">
        <v>124</v>
      </c>
    </row>
    <row r="24" spans="1:8">
      <c r="A24" t="s">
        <v>81</v>
      </c>
      <c r="B24" s="38" t="s">
        <v>140</v>
      </c>
      <c r="D24">
        <f>'Balance &lt;inventaire'!G47-'Balance &lt;inventaire'!H49</f>
        <v>28500</v>
      </c>
      <c r="F24" t="s">
        <v>98</v>
      </c>
      <c r="G24">
        <f>'Balance &lt;inventaire'!H65-'Balance &lt;inventaire'!G67</f>
        <v>200000</v>
      </c>
      <c r="H24" s="38" t="s">
        <v>141</v>
      </c>
    </row>
    <row r="25" spans="1:8">
      <c r="A25" t="s">
        <v>125</v>
      </c>
      <c r="D25">
        <f>'Balance &lt;inventaire'!G48</f>
        <v>2000</v>
      </c>
      <c r="F25" t="s">
        <v>99</v>
      </c>
      <c r="G25">
        <f>'Balance &lt;inventaire'!H66</f>
        <v>1350</v>
      </c>
    </row>
    <row r="26" spans="1:8">
      <c r="A26" t="s">
        <v>83</v>
      </c>
      <c r="D26">
        <f>'Balance &lt;inventaire'!G50</f>
        <v>28000</v>
      </c>
      <c r="F26" t="s">
        <v>126</v>
      </c>
      <c r="G26">
        <f>-'Balance &lt;inventaire'!G68</f>
        <v>-1000</v>
      </c>
    </row>
    <row r="27" spans="1:8">
      <c r="A27" t="s">
        <v>84</v>
      </c>
      <c r="D27">
        <f>'Balance &lt;inventaire'!G51</f>
        <v>32000</v>
      </c>
      <c r="F27" t="s">
        <v>101</v>
      </c>
      <c r="G27">
        <f>'Balance &lt;inventaire'!H69</f>
        <v>12627</v>
      </c>
    </row>
    <row r="28" spans="1:8">
      <c r="A28" t="s">
        <v>85</v>
      </c>
      <c r="D28">
        <f>'Balance &lt;inventaire'!G52</f>
        <v>3000</v>
      </c>
      <c r="F28" t="s">
        <v>102</v>
      </c>
      <c r="G28">
        <f>'Balance &lt;inventaire'!H70</f>
        <v>700</v>
      </c>
    </row>
    <row r="29" spans="1:8">
      <c r="A29" t="s">
        <v>86</v>
      </c>
      <c r="D29">
        <f>'Balance &lt;inventaire'!G53</f>
        <v>6000</v>
      </c>
      <c r="F29" t="s">
        <v>103</v>
      </c>
      <c r="G29">
        <f>'Balance &lt;inventaire'!H71</f>
        <v>500</v>
      </c>
    </row>
    <row r="30" spans="1:8">
      <c r="A30" t="s">
        <v>87</v>
      </c>
      <c r="D30">
        <f>'Balance &lt;inventaire'!G54</f>
        <v>4550</v>
      </c>
      <c r="F30" t="s">
        <v>127</v>
      </c>
      <c r="G30">
        <f>'Balance &lt;inventaire'!H72</f>
        <v>710</v>
      </c>
    </row>
    <row r="31" spans="1:8">
      <c r="A31" t="s">
        <v>88</v>
      </c>
      <c r="D31">
        <f>'Balance &lt;inventaire'!G55</f>
        <v>2800</v>
      </c>
      <c r="F31" t="s">
        <v>128</v>
      </c>
      <c r="G31" s="39">
        <f>'Balance &lt;inventaire'!H73</f>
        <v>458</v>
      </c>
    </row>
    <row r="32" spans="1:8">
      <c r="A32" t="s">
        <v>89</v>
      </c>
      <c r="D32">
        <f>'Balance &lt;inventaire'!G56</f>
        <v>1300</v>
      </c>
    </row>
    <row r="33" spans="1:7">
      <c r="A33" t="s">
        <v>90</v>
      </c>
      <c r="D33">
        <f>'Balance &lt;inventaire'!G57</f>
        <v>200</v>
      </c>
    </row>
    <row r="34" spans="1:7">
      <c r="A34" t="s">
        <v>91</v>
      </c>
      <c r="D34">
        <f>'Balance &lt;inventaire'!G58</f>
        <v>30000</v>
      </c>
    </row>
    <row r="35" spans="1:7">
      <c r="A35" t="s">
        <v>92</v>
      </c>
      <c r="D35">
        <f>'Balance &lt;inventaire'!G59</f>
        <v>42500</v>
      </c>
    </row>
    <row r="36" spans="1:7">
      <c r="A36" t="s">
        <v>93</v>
      </c>
      <c r="D36">
        <f>'Balance &lt;inventaire'!G60</f>
        <v>2880</v>
      </c>
    </row>
    <row r="37" spans="1:7">
      <c r="A37" t="s">
        <v>94</v>
      </c>
      <c r="D37">
        <f>'Balance &lt;inventaire'!G61</f>
        <v>4000</v>
      </c>
    </row>
    <row r="38" spans="1:7">
      <c r="A38" t="s">
        <v>95</v>
      </c>
      <c r="D38">
        <f>'Balance &lt;inventaire'!G62</f>
        <v>2000</v>
      </c>
    </row>
    <row r="39" spans="1:7">
      <c r="A39" t="s">
        <v>96</v>
      </c>
      <c r="D39">
        <f>'Balance &lt;inventaire'!G63</f>
        <v>9810</v>
      </c>
    </row>
    <row r="40" spans="1:7">
      <c r="A40" t="s">
        <v>97</v>
      </c>
      <c r="D40" s="39">
        <f>'Balance &lt;inventaire'!G64</f>
        <v>633</v>
      </c>
    </row>
    <row r="43" spans="1:7">
      <c r="A43" t="s">
        <v>129</v>
      </c>
      <c r="D43" s="39">
        <f>SUM(D24:D42)</f>
        <v>200173</v>
      </c>
      <c r="F43" t="s">
        <v>129</v>
      </c>
      <c r="G43" s="39">
        <f>SUM(G24:G42)</f>
        <v>215345</v>
      </c>
    </row>
    <row r="44" spans="1:7">
      <c r="A44" t="s">
        <v>130</v>
      </c>
      <c r="D44" s="39">
        <f>G43-D43</f>
        <v>15172</v>
      </c>
    </row>
    <row r="47" spans="1:7">
      <c r="A47" t="s">
        <v>143</v>
      </c>
      <c r="D47">
        <v>215345</v>
      </c>
      <c r="F47" t="s">
        <v>144</v>
      </c>
      <c r="G47">
        <v>215345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Page de garde</vt:lpstr>
      <vt:lpstr>Balance &lt;inventaire</vt:lpstr>
      <vt:lpstr>amortissements</vt:lpstr>
      <vt:lpstr>stocks</vt:lpstr>
      <vt:lpstr>REGUL</vt:lpstr>
      <vt:lpstr>clients</vt:lpstr>
      <vt:lpstr>Bilan cr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norev</cp:lastModifiedBy>
  <cp:lastPrinted>2009-12-08T16:05:55Z</cp:lastPrinted>
  <dcterms:created xsi:type="dcterms:W3CDTF">2009-11-23T13:12:57Z</dcterms:created>
  <dcterms:modified xsi:type="dcterms:W3CDTF">2011-01-04T12:58:07Z</dcterms:modified>
</cp:coreProperties>
</file>