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795" windowHeight="8445" activeTab="1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18" i="2"/>
  <c r="H25"/>
  <c r="H24"/>
  <c r="H26"/>
  <c r="C25"/>
  <c r="G17"/>
  <c r="C24"/>
  <c r="C26"/>
  <c r="D25"/>
  <c r="E26"/>
  <c r="E24"/>
  <c r="C37"/>
  <c r="C36"/>
  <c r="C35"/>
  <c r="F26" l="1"/>
  <c r="F25"/>
  <c r="J26"/>
  <c r="F24"/>
  <c r="G24"/>
  <c r="G26"/>
  <c r="G25"/>
  <c r="C32"/>
  <c r="C30"/>
  <c r="I26"/>
  <c r="I25"/>
  <c r="I24"/>
  <c r="D29"/>
  <c r="J24"/>
  <c r="J23"/>
  <c r="J25" l="1"/>
  <c r="J27" s="1"/>
  <c r="J19" l="1"/>
  <c r="J17"/>
  <c r="J18"/>
  <c r="J16"/>
  <c r="D11" i="1"/>
  <c r="D9"/>
  <c r="D7" i="2"/>
  <c r="C7"/>
  <c r="D6"/>
  <c r="C6"/>
  <c r="D6" i="1" l="1"/>
  <c r="D5" i="2"/>
  <c r="C5"/>
  <c r="D4"/>
  <c r="D8" s="1"/>
  <c r="C4"/>
  <c r="C8" s="1"/>
  <c r="C34" i="1"/>
  <c r="C32"/>
  <c r="C25"/>
  <c r="C27"/>
  <c r="C26"/>
  <c r="C28" s="1"/>
  <c r="C21"/>
  <c r="C11" i="2" l="1"/>
  <c r="C9"/>
  <c r="D9"/>
  <c r="D11"/>
  <c r="D4" i="1"/>
  <c r="F7"/>
  <c r="F8" s="1"/>
  <c r="D7"/>
  <c r="F5"/>
  <c r="D5"/>
  <c r="D8" s="1"/>
  <c r="F4"/>
  <c r="C12" i="2" l="1"/>
  <c r="F11" i="1"/>
  <c r="F9"/>
  <c r="C12" l="1"/>
</calcChain>
</file>

<file path=xl/sharedStrings.xml><?xml version="1.0" encoding="utf-8"?>
<sst xmlns="http://schemas.openxmlformats.org/spreadsheetml/2006/main" count="77" uniqueCount="57">
  <si>
    <t>Exercice Charges Directes et Indirectes</t>
  </si>
  <si>
    <t>Matières Premières</t>
  </si>
  <si>
    <t>Main d'Œuvre Directe (MOD)</t>
  </si>
  <si>
    <t>A</t>
  </si>
  <si>
    <t>B</t>
  </si>
  <si>
    <t>400*50</t>
  </si>
  <si>
    <t>650*50</t>
  </si>
  <si>
    <t>40*4000</t>
  </si>
  <si>
    <t>50*2000</t>
  </si>
  <si>
    <t>Charges Indirectes</t>
  </si>
  <si>
    <t>(180000*4)/6</t>
  </si>
  <si>
    <t>(180000*2)/6</t>
  </si>
  <si>
    <t>On a 6000h au total donc 2/3 et 1/3</t>
  </si>
  <si>
    <t>(20000*15)/35</t>
  </si>
  <si>
    <t>(20000*20)/35</t>
  </si>
  <si>
    <t>Charges Indirectes (Unités bonnes frabriqués)</t>
  </si>
  <si>
    <t>Coût de Revient</t>
  </si>
  <si>
    <t>Coût de Revient Unitaire</t>
  </si>
  <si>
    <t>Unité de A</t>
  </si>
  <si>
    <t>Unité de B</t>
  </si>
  <si>
    <t>On a 35000 au total donc 15/35 et 20/35</t>
  </si>
  <si>
    <t>Chiffre d'Affaire</t>
  </si>
  <si>
    <t>Résultat Analytique</t>
  </si>
  <si>
    <t>Résultat Analytique sur les 2 Produits</t>
  </si>
  <si>
    <t>Produits d'Exploitation :</t>
  </si>
  <si>
    <t>Produit vendue</t>
  </si>
  <si>
    <t>Produit stockée</t>
  </si>
  <si>
    <t>A :</t>
  </si>
  <si>
    <t>B :</t>
  </si>
  <si>
    <t>Total</t>
  </si>
  <si>
    <t>Charges d'Exploitation</t>
  </si>
  <si>
    <t>Achat Matières Premières (MP)</t>
  </si>
  <si>
    <t>Charges Directes</t>
  </si>
  <si>
    <t>Total des charges</t>
  </si>
  <si>
    <t>Charges financières</t>
  </si>
  <si>
    <t>Total charges d'exploitation</t>
  </si>
  <si>
    <t>Bénéfice</t>
  </si>
  <si>
    <t>Produit A</t>
  </si>
  <si>
    <t>Produit B</t>
  </si>
  <si>
    <t>MOD</t>
  </si>
  <si>
    <t>Charges Indirectes unités frabriques</t>
  </si>
  <si>
    <t>Coût de revient</t>
  </si>
  <si>
    <t>Coût de revient unitaire</t>
  </si>
  <si>
    <t>Chiffre d'affaire</t>
  </si>
  <si>
    <t>SA1</t>
  </si>
  <si>
    <t>SA2</t>
  </si>
  <si>
    <t>SA3</t>
  </si>
  <si>
    <t>ACHAT</t>
  </si>
  <si>
    <t>ATELIER A</t>
  </si>
  <si>
    <t>ATELIER B</t>
  </si>
  <si>
    <t>COMMERCIAL</t>
  </si>
  <si>
    <t>TOTAL</t>
  </si>
  <si>
    <t>En tonnes</t>
  </si>
  <si>
    <t>l'heure</t>
  </si>
  <si>
    <t>le m²</t>
  </si>
  <si>
    <t>Sur 100€ de CA, la répartition</t>
  </si>
  <si>
    <t>1m² rapporte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</si>
</sst>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1"/>
      <color rgb="FF00B050"/>
      <name val="Calibri"/>
      <family val="2"/>
      <scheme val="minor"/>
    </font>
    <font>
      <sz val="10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3" xfId="0" applyFill="1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164" fontId="2" fillId="0" borderId="1" xfId="0" applyNumberFormat="1" applyFont="1" applyBorder="1"/>
    <xf numFmtId="0" fontId="4" fillId="0" borderId="0" xfId="0" applyFont="1"/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4" fontId="0" fillId="0" borderId="1" xfId="0" applyNumberFormat="1" applyBorder="1"/>
    <xf numFmtId="4" fontId="0" fillId="0" borderId="12" xfId="0" applyNumberFormat="1" applyBorder="1"/>
    <xf numFmtId="164" fontId="6" fillId="0" borderId="9" xfId="0" applyNumberFormat="1" applyFont="1" applyBorder="1"/>
    <xf numFmtId="164" fontId="6" fillId="0" borderId="1" xfId="0" applyNumberFormat="1" applyFont="1" applyBorder="1"/>
    <xf numFmtId="164" fontId="6" fillId="0" borderId="10" xfId="0" applyNumberFormat="1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164" fontId="0" fillId="2" borderId="9" xfId="0" applyNumberFormat="1" applyFill="1" applyBorder="1"/>
    <xf numFmtId="164" fontId="0" fillId="2" borderId="1" xfId="0" applyNumberFormat="1" applyFill="1" applyBorder="1"/>
    <xf numFmtId="164" fontId="0" fillId="2" borderId="12" xfId="0" applyNumberFormat="1" applyFill="1" applyBorder="1"/>
    <xf numFmtId="4" fontId="0" fillId="0" borderId="11" xfId="0" applyNumberFormat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workbookViewId="0">
      <selection activeCell="C12" sqref="C12:F12"/>
    </sheetView>
  </sheetViews>
  <sheetFormatPr baseColWidth="10" defaultRowHeight="15"/>
  <cols>
    <col min="2" max="2" width="42.28515625" bestFit="1" customWidth="1"/>
    <col min="3" max="5" width="13.28515625" bestFit="1" customWidth="1"/>
  </cols>
  <sheetData>
    <row r="1" spans="1:11" ht="28.5">
      <c r="A1" s="11" t="s">
        <v>0</v>
      </c>
    </row>
    <row r="2" spans="1:11">
      <c r="J2" s="4" t="s">
        <v>18</v>
      </c>
      <c r="K2" s="4" t="s">
        <v>19</v>
      </c>
    </row>
    <row r="3" spans="1:11">
      <c r="C3" s="12" t="s">
        <v>3</v>
      </c>
      <c r="D3" s="13"/>
      <c r="E3" s="14" t="s">
        <v>4</v>
      </c>
      <c r="F3" s="14"/>
      <c r="J3" s="4">
        <v>15000</v>
      </c>
      <c r="K3" s="4">
        <v>20000</v>
      </c>
    </row>
    <row r="4" spans="1:11">
      <c r="B4" s="1" t="s">
        <v>1</v>
      </c>
      <c r="C4" s="1" t="s">
        <v>6</v>
      </c>
      <c r="D4" s="5">
        <f>650*50</f>
        <v>32500</v>
      </c>
      <c r="E4" s="1" t="s">
        <v>5</v>
      </c>
      <c r="F4" s="5">
        <f>400*50</f>
        <v>20000</v>
      </c>
    </row>
    <row r="5" spans="1:11">
      <c r="B5" s="1" t="s">
        <v>2</v>
      </c>
      <c r="C5" s="1" t="s">
        <v>7</v>
      </c>
      <c r="D5" s="5">
        <f>40*4000</f>
        <v>160000</v>
      </c>
      <c r="E5" s="1" t="s">
        <v>8</v>
      </c>
      <c r="F5" s="5">
        <f>50*2000</f>
        <v>100000</v>
      </c>
    </row>
    <row r="6" spans="1:11">
      <c r="B6" s="1" t="s">
        <v>9</v>
      </c>
      <c r="C6" s="1" t="s">
        <v>10</v>
      </c>
      <c r="D6" s="5">
        <f>(180000*2)/3</f>
        <v>120000</v>
      </c>
      <c r="E6" s="1" t="s">
        <v>11</v>
      </c>
      <c r="F6" s="5">
        <v>60000</v>
      </c>
      <c r="G6" s="3" t="s">
        <v>12</v>
      </c>
    </row>
    <row r="7" spans="1:11">
      <c r="B7" s="2" t="s">
        <v>15</v>
      </c>
      <c r="C7" s="1" t="s">
        <v>13</v>
      </c>
      <c r="D7" s="5">
        <f>(20000*15)/35</f>
        <v>8571.4285714285706</v>
      </c>
      <c r="E7" s="1" t="s">
        <v>14</v>
      </c>
      <c r="F7" s="5">
        <f>(20000*20)/35</f>
        <v>11428.571428571429</v>
      </c>
      <c r="G7" s="3" t="s">
        <v>20</v>
      </c>
    </row>
    <row r="8" spans="1:11">
      <c r="B8" s="2" t="s">
        <v>16</v>
      </c>
      <c r="C8" s="1"/>
      <c r="D8" s="5">
        <f>SUM(D4:D7)</f>
        <v>321071.42857142858</v>
      </c>
      <c r="E8" s="1"/>
      <c r="F8" s="5">
        <f>SUM(F4:F7)</f>
        <v>191428.57142857142</v>
      </c>
    </row>
    <row r="9" spans="1:11">
      <c r="B9" s="2" t="s">
        <v>17</v>
      </c>
      <c r="C9" s="1"/>
      <c r="D9" s="5">
        <f>D8/J3</f>
        <v>21.404761904761905</v>
      </c>
      <c r="E9" s="1"/>
      <c r="F9" s="5">
        <f>F8/K3</f>
        <v>9.5714285714285712</v>
      </c>
    </row>
    <row r="10" spans="1:11">
      <c r="B10" s="2" t="s">
        <v>21</v>
      </c>
      <c r="C10" s="1"/>
      <c r="D10" s="5">
        <v>400000</v>
      </c>
      <c r="E10" s="1"/>
      <c r="F10" s="5">
        <v>250000</v>
      </c>
    </row>
    <row r="11" spans="1:11">
      <c r="B11" s="2" t="s">
        <v>22</v>
      </c>
      <c r="C11" s="1"/>
      <c r="D11" s="5">
        <f>D10-D8</f>
        <v>78928.57142857142</v>
      </c>
      <c r="E11" s="1"/>
      <c r="F11" s="5">
        <f>F10-F8</f>
        <v>58571.42857142858</v>
      </c>
    </row>
    <row r="12" spans="1:11">
      <c r="B12" s="2" t="s">
        <v>23</v>
      </c>
      <c r="C12" s="15">
        <f>D11+F11</f>
        <v>137500</v>
      </c>
      <c r="D12" s="16"/>
      <c r="E12" s="16"/>
      <c r="F12" s="16"/>
    </row>
    <row r="15" spans="1:11">
      <c r="B15" s="6" t="s">
        <v>24</v>
      </c>
      <c r="C15" s="6"/>
      <c r="D15" s="6"/>
    </row>
    <row r="16" spans="1:11">
      <c r="B16" s="6"/>
      <c r="C16" s="6"/>
      <c r="D16" s="6"/>
    </row>
    <row r="17" spans="2:3">
      <c r="B17" s="7" t="s">
        <v>25</v>
      </c>
      <c r="C17" s="8">
        <v>650000</v>
      </c>
    </row>
    <row r="18" spans="2:3">
      <c r="B18" s="7" t="s">
        <v>26</v>
      </c>
      <c r="C18" s="8">
        <v>0</v>
      </c>
    </row>
    <row r="19" spans="2:3">
      <c r="B19" s="7" t="s">
        <v>27</v>
      </c>
      <c r="C19" s="8">
        <v>0</v>
      </c>
    </row>
    <row r="20" spans="2:3">
      <c r="B20" s="7" t="s">
        <v>28</v>
      </c>
      <c r="C20" s="8">
        <v>0</v>
      </c>
    </row>
    <row r="21" spans="2:3">
      <c r="B21" s="7" t="s">
        <v>29</v>
      </c>
      <c r="C21" s="8">
        <f>SUM(C17:C18)</f>
        <v>650000</v>
      </c>
    </row>
    <row r="23" spans="2:3">
      <c r="B23" s="10" t="s">
        <v>30</v>
      </c>
    </row>
    <row r="25" spans="2:3">
      <c r="B25" s="7" t="s">
        <v>31</v>
      </c>
      <c r="C25" s="5">
        <f>50*400 + 50*650</f>
        <v>52500</v>
      </c>
    </row>
    <row r="26" spans="2:3">
      <c r="B26" s="1" t="s">
        <v>32</v>
      </c>
      <c r="C26" s="5">
        <f>160000+100000</f>
        <v>260000</v>
      </c>
    </row>
    <row r="27" spans="2:3">
      <c r="B27" s="1" t="s">
        <v>9</v>
      </c>
      <c r="C27" s="5">
        <f>120000+60000+20000</f>
        <v>200000</v>
      </c>
    </row>
    <row r="28" spans="2:3">
      <c r="B28" s="1" t="s">
        <v>33</v>
      </c>
      <c r="C28" s="5">
        <f>SUM(C25:C27)</f>
        <v>512500</v>
      </c>
    </row>
    <row r="30" spans="2:3">
      <c r="B30" s="7" t="s">
        <v>34</v>
      </c>
      <c r="C30" s="8">
        <v>0</v>
      </c>
    </row>
    <row r="31" spans="2:3">
      <c r="B31" s="6"/>
      <c r="C31" s="6"/>
    </row>
    <row r="32" spans="2:3">
      <c r="B32" s="7" t="s">
        <v>35</v>
      </c>
      <c r="C32" s="8">
        <f>C28+C30</f>
        <v>512500</v>
      </c>
    </row>
    <row r="33" spans="2:3">
      <c r="B33" s="6"/>
      <c r="C33" s="6"/>
    </row>
    <row r="34" spans="2:3">
      <c r="B34" s="7" t="s">
        <v>36</v>
      </c>
      <c r="C34" s="9">
        <f>C21-C32</f>
        <v>137500</v>
      </c>
    </row>
  </sheetData>
  <mergeCells count="3">
    <mergeCell ref="C3:D3"/>
    <mergeCell ref="E3:F3"/>
    <mergeCell ref="C12:F12"/>
  </mergeCells>
  <pageMargins left="0.7" right="0.7" top="0.75" bottom="0.75" header="0.3" footer="0.3"/>
  <pageSetup paperSize="9" orientation="portrait" r:id="rId1"/>
  <ignoredErrors>
    <ignoredError sqref="C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13" workbookViewId="0">
      <selection activeCell="H18" sqref="H18"/>
    </sheetView>
  </sheetViews>
  <sheetFormatPr baseColWidth="10" defaultRowHeight="15"/>
  <cols>
    <col min="2" max="2" width="33.42578125" bestFit="1" customWidth="1"/>
    <col min="3" max="3" width="15" customWidth="1"/>
    <col min="8" max="8" width="14.140625" bestFit="1" customWidth="1"/>
    <col min="9" max="10" width="12.85546875" bestFit="1" customWidth="1"/>
  </cols>
  <sheetData>
    <row r="1" spans="1:10" ht="28.5">
      <c r="A1" s="11" t="s">
        <v>0</v>
      </c>
    </row>
    <row r="3" spans="1:10">
      <c r="C3" t="s">
        <v>37</v>
      </c>
      <c r="D3" t="s">
        <v>38</v>
      </c>
    </row>
    <row r="4" spans="1:10">
      <c r="B4" t="s">
        <v>1</v>
      </c>
      <c r="C4">
        <f>650*50</f>
        <v>32500</v>
      </c>
      <c r="D4">
        <f>400*50</f>
        <v>20000</v>
      </c>
    </row>
    <row r="5" spans="1:10">
      <c r="B5" t="s">
        <v>39</v>
      </c>
      <c r="C5">
        <f>4000*40</f>
        <v>160000</v>
      </c>
      <c r="D5">
        <f>2000*50</f>
        <v>100000</v>
      </c>
    </row>
    <row r="6" spans="1:10">
      <c r="B6" t="s">
        <v>9</v>
      </c>
      <c r="C6">
        <f>(20000+50000+7000+25000+7500+8000+32500+30000)*2/3</f>
        <v>120000</v>
      </c>
      <c r="D6">
        <f>(20000+50000+7000+25000+7500+8000+32500+30000)*1/3</f>
        <v>60000</v>
      </c>
    </row>
    <row r="7" spans="1:10">
      <c r="B7" t="s">
        <v>40</v>
      </c>
      <c r="C7">
        <f>(4500+6500+4750+4250)*15/35</f>
        <v>8571.4285714285706</v>
      </c>
      <c r="D7">
        <f>(4500+6500+4750+4250)*20/35</f>
        <v>11428.571428571429</v>
      </c>
    </row>
    <row r="8" spans="1:10">
      <c r="B8" t="s">
        <v>41</v>
      </c>
      <c r="C8">
        <f>SUM(C4:C7)</f>
        <v>321071.42857142858</v>
      </c>
      <c r="D8">
        <f>SUM(D4:D7)</f>
        <v>191428.57142857142</v>
      </c>
    </row>
    <row r="9" spans="1:10">
      <c r="B9" t="s">
        <v>42</v>
      </c>
      <c r="C9">
        <f>C8/15000</f>
        <v>21.404761904761905</v>
      </c>
      <c r="D9">
        <f>D8/20000</f>
        <v>9.5714285714285712</v>
      </c>
    </row>
    <row r="10" spans="1:10">
      <c r="B10" t="s">
        <v>43</v>
      </c>
      <c r="C10">
        <v>400000</v>
      </c>
      <c r="D10">
        <v>250000</v>
      </c>
    </row>
    <row r="11" spans="1:10">
      <c r="B11" t="s">
        <v>22</v>
      </c>
      <c r="C11">
        <f>C10-C8</f>
        <v>78928.57142857142</v>
      </c>
      <c r="D11">
        <f>D10-D8</f>
        <v>58571.42857142858</v>
      </c>
    </row>
    <row r="12" spans="1:10">
      <c r="C12" s="17">
        <f>C11+D11</f>
        <v>137500</v>
      </c>
      <c r="D12" s="17"/>
    </row>
    <row r="14" spans="1:10" ht="15.75" thickBot="1">
      <c r="F14" t="s">
        <v>52</v>
      </c>
      <c r="G14" t="s">
        <v>53</v>
      </c>
      <c r="H14" t="s">
        <v>54</v>
      </c>
      <c r="I14" t="s">
        <v>55</v>
      </c>
    </row>
    <row r="15" spans="1:10">
      <c r="C15" s="19" t="s">
        <v>44</v>
      </c>
      <c r="D15" s="20" t="s">
        <v>45</v>
      </c>
      <c r="E15" s="20" t="s">
        <v>46</v>
      </c>
      <c r="F15" s="20" t="s">
        <v>47</v>
      </c>
      <c r="G15" s="20" t="s">
        <v>48</v>
      </c>
      <c r="H15" s="20" t="s">
        <v>49</v>
      </c>
      <c r="I15" s="20" t="s">
        <v>50</v>
      </c>
      <c r="J15" s="21" t="s">
        <v>51</v>
      </c>
    </row>
    <row r="16" spans="1:10">
      <c r="C16" s="22">
        <v>10000</v>
      </c>
      <c r="D16" s="5">
        <v>25000</v>
      </c>
      <c r="E16" s="5">
        <v>20000</v>
      </c>
      <c r="F16" s="5">
        <v>100056</v>
      </c>
      <c r="G16" s="5">
        <v>151944</v>
      </c>
      <c r="H16" s="5">
        <v>124444</v>
      </c>
      <c r="I16" s="5">
        <v>101667</v>
      </c>
      <c r="J16" s="23">
        <f>SUM(C16:I16)</f>
        <v>533111</v>
      </c>
    </row>
    <row r="17" spans="2:10">
      <c r="C17" s="22"/>
      <c r="D17" s="5"/>
      <c r="E17" s="5">
        <v>20</v>
      </c>
      <c r="F17" s="27">
        <v>20</v>
      </c>
      <c r="G17" s="27">
        <f>(G24/G23)*17000</f>
        <v>16925</v>
      </c>
      <c r="H17" s="27">
        <v>30</v>
      </c>
      <c r="I17" s="5">
        <v>30</v>
      </c>
      <c r="J17" s="23">
        <f>SUM(C17:I17)</f>
        <v>17025</v>
      </c>
    </row>
    <row r="18" spans="2:10">
      <c r="C18" s="22"/>
      <c r="D18" s="5"/>
      <c r="E18" s="5"/>
      <c r="F18" s="27">
        <v>30</v>
      </c>
      <c r="G18" s="27">
        <v>50</v>
      </c>
      <c r="H18" s="27">
        <f>(H25)/D29</f>
        <v>7800</v>
      </c>
      <c r="I18" s="5">
        <v>20</v>
      </c>
      <c r="J18" s="23">
        <f>SUM(C18:I18)</f>
        <v>7900</v>
      </c>
    </row>
    <row r="19" spans="2:10" ht="15.75" thickBot="1">
      <c r="C19" s="24">
        <v>5</v>
      </c>
      <c r="D19" s="25"/>
      <c r="E19" s="25"/>
      <c r="F19" s="28">
        <v>10</v>
      </c>
      <c r="G19" s="28">
        <v>25</v>
      </c>
      <c r="H19" s="28">
        <v>10</v>
      </c>
      <c r="I19" s="25">
        <v>50</v>
      </c>
      <c r="J19" s="26">
        <f>SUM(C19:I19)</f>
        <v>100</v>
      </c>
    </row>
    <row r="20" spans="2:10">
      <c r="C20" s="18"/>
      <c r="D20" s="18"/>
      <c r="E20" s="18"/>
      <c r="F20" s="18"/>
      <c r="G20" s="18"/>
      <c r="H20" s="18"/>
      <c r="I20" s="18"/>
      <c r="J20" s="18"/>
    </row>
    <row r="21" spans="2:10" ht="15.75" thickBot="1">
      <c r="F21" t="s">
        <v>52</v>
      </c>
      <c r="G21" t="s">
        <v>53</v>
      </c>
      <c r="H21" t="s">
        <v>54</v>
      </c>
      <c r="I21" t="s">
        <v>55</v>
      </c>
    </row>
    <row r="22" spans="2:10">
      <c r="C22" s="32" t="s">
        <v>44</v>
      </c>
      <c r="D22" s="33" t="s">
        <v>45</v>
      </c>
      <c r="E22" s="33" t="s">
        <v>46</v>
      </c>
      <c r="F22" s="33" t="s">
        <v>47</v>
      </c>
      <c r="G22" s="33" t="s">
        <v>48</v>
      </c>
      <c r="H22" s="33" t="s">
        <v>49</v>
      </c>
      <c r="I22" s="33" t="s">
        <v>50</v>
      </c>
      <c r="J22" s="34" t="s">
        <v>51</v>
      </c>
    </row>
    <row r="23" spans="2:10">
      <c r="C23" s="29">
        <v>10000</v>
      </c>
      <c r="D23" s="30">
        <v>25000</v>
      </c>
      <c r="E23" s="30">
        <v>20000</v>
      </c>
      <c r="F23" s="30">
        <v>100056</v>
      </c>
      <c r="G23" s="30">
        <v>151944</v>
      </c>
      <c r="H23" s="30">
        <v>124444</v>
      </c>
      <c r="I23" s="30">
        <v>101667</v>
      </c>
      <c r="J23" s="31">
        <f>SUM(C23:I23)</f>
        <v>533111</v>
      </c>
    </row>
    <row r="24" spans="2:10">
      <c r="B24" t="s">
        <v>44</v>
      </c>
      <c r="C24" s="35">
        <f>(20/2000)*C23*0.1</f>
        <v>10</v>
      </c>
      <c r="D24" s="5">
        <v>0</v>
      </c>
      <c r="E24" s="39">
        <f>((0.2*20)/2000)*E23</f>
        <v>40</v>
      </c>
      <c r="F24" s="27">
        <f>(20/2000)*F23</f>
        <v>1000.5600000000001</v>
      </c>
      <c r="G24" s="5">
        <f>G23-G25-G26</f>
        <v>151273.6588235294</v>
      </c>
      <c r="H24" s="27">
        <f>(3*1300)*D29</f>
        <v>3600000</v>
      </c>
      <c r="I24" s="5">
        <f>(3/10)*(I23)</f>
        <v>30500.1</v>
      </c>
      <c r="J24" s="23">
        <f>SUM(C24:I24)</f>
        <v>3782824.3188235294</v>
      </c>
    </row>
    <row r="25" spans="2:10">
      <c r="B25" t="s">
        <v>45</v>
      </c>
      <c r="C25" s="22">
        <f>(20/2000)*C23*0.1</f>
        <v>10</v>
      </c>
      <c r="D25" s="36">
        <f>(30/2000)*C23</f>
        <v>150</v>
      </c>
      <c r="E25" s="5"/>
      <c r="F25" s="27">
        <f>(30/2000)*F23</f>
        <v>1500.84</v>
      </c>
      <c r="G25" s="27">
        <f>(50/17000)*G23</f>
        <v>446.89411764705881</v>
      </c>
      <c r="H25" s="27">
        <f>12000000-H24-H26</f>
        <v>7200000</v>
      </c>
      <c r="I25" s="5">
        <f>(2/10)*(I23)</f>
        <v>20333.400000000001</v>
      </c>
      <c r="J25" s="23">
        <f>SUM(C25:I25)</f>
        <v>7222441.1341176471</v>
      </c>
    </row>
    <row r="26" spans="2:10" ht="15.75" thickBot="1">
      <c r="B26" t="s">
        <v>46</v>
      </c>
      <c r="C26" s="38">
        <f>(20/2000)*C23*0.05</f>
        <v>5</v>
      </c>
      <c r="D26" s="25">
        <v>0</v>
      </c>
      <c r="E26" s="37">
        <f>(10/2000)*C23</f>
        <v>50</v>
      </c>
      <c r="F26" s="27">
        <f>(10/2000)*F23</f>
        <v>500.28000000000003</v>
      </c>
      <c r="G26" s="27">
        <f>(25/17000)*G23</f>
        <v>223.4470588235294</v>
      </c>
      <c r="H26" s="28">
        <f>(1300)*D29</f>
        <v>1200000</v>
      </c>
      <c r="I26" s="5">
        <f>(5/10)*(I23)</f>
        <v>50833.5</v>
      </c>
      <c r="J26" s="26">
        <f>SUM(C26:I26)</f>
        <v>1251612.2270588235</v>
      </c>
    </row>
    <row r="27" spans="2:10">
      <c r="J27" s="18">
        <f>SUM(J24:J26)</f>
        <v>12256877.68</v>
      </c>
    </row>
    <row r="29" spans="2:10">
      <c r="C29" t="s">
        <v>56</v>
      </c>
      <c r="D29">
        <f>12000000/13000</f>
        <v>923.07692307692309</v>
      </c>
    </row>
    <row r="30" spans="2:10">
      <c r="C30" s="18">
        <f>75*17000</f>
        <v>1275000</v>
      </c>
    </row>
    <row r="32" spans="2:10">
      <c r="C32">
        <f>50/17000</f>
        <v>2.9411764705882353E-3</v>
      </c>
    </row>
    <row r="35" spans="3:3">
      <c r="C35">
        <f>12000000/13000</f>
        <v>923.07692307692309</v>
      </c>
    </row>
    <row r="36" spans="3:3">
      <c r="C36">
        <f>C35/17000</f>
        <v>5.4298642533936653E-2</v>
      </c>
    </row>
    <row r="37" spans="3:3">
      <c r="C37">
        <f>C36/2000</f>
        <v>2.7149321266968327E-5</v>
      </c>
    </row>
  </sheetData>
  <mergeCells count="1">
    <mergeCell ref="C12:D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2011-02-01T13:37:18Z</dcterms:created>
  <dcterms:modified xsi:type="dcterms:W3CDTF">2011-04-06T14:07:31Z</dcterms:modified>
</cp:coreProperties>
</file>