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1335" yWindow="285" windowWidth="24240" windowHeight="13305" tabRatio="905" activeTab="3"/>
  </bookViews>
  <sheets>
    <sheet name="Paramètres, Données du cas" sheetId="8" r:id="rId1"/>
    <sheet name="Q1) CA point mort, payback" sheetId="2" r:id="rId2"/>
    <sheet name="Q2a)Q2b) BFR" sheetId="1" r:id="rId3"/>
    <sheet name="Q3) Q4)CAF 2009 pour 2010 " sheetId="6" r:id="rId4"/>
    <sheet name="Q5) Salaires max" sheetId="5" r:id="rId5"/>
    <sheet name="Q6)Q7)Baisse MP et 90j" sheetId="7" r:id="rId6"/>
    <sheet name="Q8) ; Q9) ; Q 10)" sheetId="4" r:id="rId7"/>
  </sheets>
  <definedNames>
    <definedName name="_xlnm.Print_Area" localSheetId="2">'Q2a)Q2b) BFR'!#REF!</definedName>
    <definedName name="_xlnm.Print_Area" localSheetId="4">'Q5) Salaires max'!$A$1:$D$14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6" l="1"/>
  <c r="B8" i="2"/>
  <c r="E13" i="4"/>
  <c r="F26" i="7"/>
  <c r="F23" i="7"/>
  <c r="H23" i="7"/>
  <c r="H26" i="7"/>
  <c r="F57" i="7"/>
  <c r="F53" i="7"/>
  <c r="G54" i="7"/>
  <c r="G51" i="7"/>
  <c r="G50" i="7"/>
  <c r="G49" i="7"/>
  <c r="G48" i="7"/>
  <c r="F47" i="7"/>
  <c r="F46" i="7"/>
  <c r="F45" i="7"/>
  <c r="F44" i="7"/>
  <c r="B55" i="7"/>
  <c r="B52" i="7"/>
  <c r="C53" i="7"/>
  <c r="C51" i="7"/>
  <c r="B51" i="7"/>
  <c r="C45" i="7"/>
  <c r="B50" i="7"/>
  <c r="B54" i="7"/>
  <c r="B53" i="7"/>
  <c r="B46" i="7"/>
  <c r="B47" i="7"/>
  <c r="B48" i="7"/>
  <c r="B45" i="7"/>
  <c r="C42" i="7"/>
  <c r="B27" i="7"/>
  <c r="C34" i="7"/>
  <c r="B26" i="7"/>
  <c r="B25" i="7"/>
  <c r="K14" i="7"/>
  <c r="J7" i="7"/>
  <c r="J6" i="7"/>
  <c r="J5" i="7"/>
  <c r="G55" i="7"/>
  <c r="F55" i="7"/>
  <c r="F56" i="7"/>
  <c r="B44" i="7"/>
  <c r="E32" i="4"/>
  <c r="E31" i="4"/>
  <c r="E30" i="4"/>
  <c r="E27" i="4"/>
  <c r="E26" i="4"/>
  <c r="E25" i="4"/>
  <c r="E24" i="4"/>
  <c r="E23" i="4"/>
  <c r="E21" i="4"/>
  <c r="E19" i="4"/>
  <c r="E16" i="4"/>
  <c r="E15" i="4"/>
  <c r="E14" i="4"/>
  <c r="E10" i="4"/>
  <c r="E9" i="4"/>
  <c r="E7" i="4"/>
  <c r="E5" i="4"/>
  <c r="E4" i="4"/>
  <c r="E3" i="4"/>
  <c r="B11" i="4"/>
  <c r="B9" i="4"/>
  <c r="B8" i="4"/>
  <c r="B3" i="4"/>
  <c r="B4" i="4"/>
  <c r="B7" i="4"/>
  <c r="C44" i="7"/>
  <c r="B56" i="7"/>
  <c r="B57" i="7"/>
  <c r="E16" i="1"/>
  <c r="F11" i="1"/>
  <c r="F10" i="1"/>
  <c r="F15" i="1"/>
  <c r="F9" i="1"/>
  <c r="F8" i="1"/>
  <c r="E7" i="1"/>
  <c r="E15" i="1"/>
  <c r="J16" i="7"/>
  <c r="H25" i="7"/>
  <c r="H28" i="7"/>
  <c r="K15" i="7"/>
  <c r="K11" i="7"/>
  <c r="K10" i="7"/>
  <c r="K9" i="7"/>
  <c r="K8" i="7"/>
  <c r="B36" i="7"/>
  <c r="F25" i="7"/>
  <c r="C35" i="7"/>
  <c r="C31" i="7"/>
  <c r="C30" i="7"/>
  <c r="C29" i="7"/>
  <c r="C28" i="7"/>
  <c r="F11" i="7"/>
  <c r="F10" i="7"/>
  <c r="F9" i="7"/>
  <c r="F7" i="7"/>
  <c r="F5" i="7"/>
  <c r="F3" i="7"/>
  <c r="B33" i="7"/>
  <c r="B24" i="7"/>
  <c r="J15" i="7"/>
  <c r="J13" i="7"/>
  <c r="J4" i="7"/>
  <c r="E6" i="1"/>
  <c r="E5" i="1"/>
  <c r="E4" i="1"/>
  <c r="D6" i="7"/>
  <c r="D7" i="7"/>
  <c r="C14" i="7"/>
  <c r="C13" i="7"/>
  <c r="C12" i="7"/>
  <c r="C11" i="7"/>
  <c r="B10" i="7"/>
  <c r="C10" i="7"/>
  <c r="C9" i="7"/>
  <c r="C7" i="7"/>
  <c r="C6" i="7"/>
  <c r="C5" i="7"/>
  <c r="B4" i="7"/>
  <c r="B15" i="7"/>
  <c r="C2" i="7"/>
  <c r="C55" i="7"/>
  <c r="F28" i="7"/>
  <c r="J17" i="7"/>
  <c r="B37" i="7"/>
  <c r="B35" i="7"/>
  <c r="B16" i="7"/>
  <c r="C15" i="7"/>
  <c r="C4" i="7"/>
  <c r="B8" i="7"/>
  <c r="C8" i="7"/>
  <c r="C57" i="7"/>
  <c r="C56" i="7"/>
  <c r="B17" i="7"/>
  <c r="C17" i="7"/>
  <c r="C16" i="7"/>
  <c r="B58" i="7"/>
  <c r="C58" i="7"/>
  <c r="B18" i="7"/>
  <c r="C18" i="7"/>
  <c r="D4" i="5"/>
  <c r="D5" i="5"/>
  <c r="D6" i="5"/>
  <c r="D7" i="5"/>
  <c r="D13" i="5"/>
  <c r="D14" i="5"/>
  <c r="D3" i="5"/>
  <c r="B5" i="5"/>
  <c r="B6" i="5"/>
  <c r="C4" i="5"/>
  <c r="C5" i="5"/>
  <c r="C6" i="5"/>
  <c r="C7" i="5"/>
  <c r="C13" i="5"/>
  <c r="C14" i="5"/>
  <c r="B4" i="5"/>
  <c r="B10" i="5"/>
  <c r="F14" i="1"/>
  <c r="E13" i="1"/>
  <c r="G65" i="6"/>
  <c r="B3" i="6"/>
  <c r="B67" i="6"/>
  <c r="B66" i="6"/>
  <c r="B65" i="6"/>
  <c r="B64" i="6"/>
  <c r="B53" i="6"/>
  <c r="B54" i="6"/>
  <c r="B55" i="6"/>
  <c r="C64" i="6"/>
  <c r="C63" i="6"/>
  <c r="B62" i="6"/>
  <c r="B7" i="5"/>
  <c r="B13" i="5"/>
  <c r="B14" i="5"/>
  <c r="D6" i="6"/>
  <c r="B6" i="6"/>
  <c r="G56" i="6"/>
  <c r="B27" i="6"/>
  <c r="B24" i="6"/>
  <c r="C28" i="6"/>
  <c r="C26" i="6"/>
  <c r="C25" i="6"/>
  <c r="C24" i="6"/>
  <c r="B29" i="6"/>
  <c r="C29" i="6"/>
  <c r="C27" i="6"/>
  <c r="C60" i="6"/>
  <c r="C59" i="6"/>
  <c r="C58" i="6"/>
  <c r="B56" i="6"/>
  <c r="C57" i="6"/>
  <c r="B44" i="6"/>
  <c r="B43" i="6"/>
  <c r="B42" i="6"/>
  <c r="B38" i="6"/>
  <c r="B40" i="6"/>
  <c r="B36" i="6"/>
  <c r="C18" i="6"/>
  <c r="B21" i="6"/>
  <c r="B20" i="6"/>
  <c r="C23" i="6"/>
  <c r="C16" i="6"/>
  <c r="B52" i="6"/>
  <c r="D3" i="6"/>
  <c r="D5" i="6"/>
  <c r="B5" i="6"/>
  <c r="B8" i="6"/>
  <c r="E17" i="1"/>
  <c r="B5" i="1"/>
  <c r="B4" i="1"/>
  <c r="F7" i="8"/>
  <c r="F5" i="8"/>
  <c r="F17" i="8"/>
  <c r="B2" i="1"/>
  <c r="B3" i="1"/>
  <c r="E3" i="1"/>
  <c r="B13" i="1"/>
  <c r="B12" i="1"/>
  <c r="B11" i="1"/>
  <c r="F3" i="8"/>
  <c r="F11" i="8"/>
  <c r="F10" i="8"/>
  <c r="F9" i="8"/>
  <c r="E18" i="1"/>
  <c r="B15" i="2"/>
  <c r="B14" i="2"/>
  <c r="B9" i="2"/>
  <c r="B6" i="2"/>
  <c r="B4" i="2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B18" i="8"/>
  <c r="B17" i="8"/>
  <c r="B16" i="8"/>
  <c r="C2" i="8"/>
  <c r="B4" i="8"/>
  <c r="B10" i="8"/>
  <c r="B15" i="8"/>
  <c r="B8" i="8"/>
  <c r="B19" i="6"/>
  <c r="B18" i="6"/>
  <c r="B22" i="6"/>
  <c r="B30" i="6"/>
  <c r="C30" i="6"/>
  <c r="B31" i="6"/>
  <c r="C31" i="6"/>
  <c r="B32" i="6"/>
  <c r="C32" i="6"/>
  <c r="C54" i="7"/>
</calcChain>
</file>

<file path=xl/sharedStrings.xml><?xml version="1.0" encoding="utf-8"?>
<sst xmlns="http://schemas.openxmlformats.org/spreadsheetml/2006/main" count="349" uniqueCount="151">
  <si>
    <t>CA HT</t>
  </si>
  <si>
    <t>Achats matières premières</t>
  </si>
  <si>
    <t>Montant</t>
  </si>
  <si>
    <t>% du CA HT</t>
  </si>
  <si>
    <t>Autres approvisionnements</t>
  </si>
  <si>
    <t>Services extérieurs</t>
  </si>
  <si>
    <t>Salaires</t>
  </si>
  <si>
    <t>Charges sociales</t>
  </si>
  <si>
    <t>Dotations aux amortissements</t>
  </si>
  <si>
    <t>Intérêts d'emprunts</t>
  </si>
  <si>
    <t>Total charges</t>
  </si>
  <si>
    <t xml:space="preserve">Charges </t>
  </si>
  <si>
    <t>Stocks matières premières</t>
  </si>
  <si>
    <t>Délai de paiement Clients</t>
  </si>
  <si>
    <t>Stocks autres approvisionnements</t>
  </si>
  <si>
    <t>Informations</t>
  </si>
  <si>
    <t>Délai de règlement fournisseurs de matières premières</t>
  </si>
  <si>
    <t>Délai de règlement fournisseurs autres appros et services</t>
  </si>
  <si>
    <t>Taux de TVA</t>
  </si>
  <si>
    <t xml:space="preserve">Salaires </t>
  </si>
  <si>
    <t>payés en fin de mois</t>
  </si>
  <si>
    <t>Stocks produits finis</t>
  </si>
  <si>
    <t>Stocks</t>
  </si>
  <si>
    <t>Dettes fournisseurs matières premières (60 j d'achats TTC)</t>
  </si>
  <si>
    <t>Dettes fournisseurs autres approvisionnements (45 j d'achats TTC)</t>
  </si>
  <si>
    <t>Actif cyclique</t>
  </si>
  <si>
    <t>Passif cyclique</t>
  </si>
  <si>
    <t>Total</t>
  </si>
  <si>
    <t>RATIO BFRE/CA HT</t>
  </si>
  <si>
    <t>Charges variables</t>
  </si>
  <si>
    <t>Charges fixes</t>
  </si>
  <si>
    <t>BN2 = Résultat avant impôt</t>
  </si>
  <si>
    <t>BN1 = Résultat d'exploitation après impôt</t>
  </si>
  <si>
    <t>Durée moyenne en j de rotation ou d'immobilisation</t>
  </si>
  <si>
    <t>Coût de revient du produit fini</t>
  </si>
  <si>
    <t>80% du Prix de Vente HT</t>
  </si>
  <si>
    <t>Stocks d'en-cours ou semi-finis</t>
  </si>
  <si>
    <t>Dettes fournisseurs de services (45 j d'achats TTC)</t>
  </si>
  <si>
    <t>Coût de revient du produit semi-fini</t>
  </si>
  <si>
    <t>60% du Prix de vente HT</t>
  </si>
  <si>
    <t>Charges fixes = CF</t>
  </si>
  <si>
    <t>CV/CA</t>
  </si>
  <si>
    <t>Date du point mort</t>
  </si>
  <si>
    <t>Nbre de jours écoulés en 2009 pour atteindre le CA*</t>
  </si>
  <si>
    <t>CA Objectif 2010</t>
  </si>
  <si>
    <t>Investissements en 2010</t>
  </si>
  <si>
    <t>Impôt sur bénéfices = 1/3 BN2</t>
  </si>
  <si>
    <t>versés dans le mois suivant la fin de trimestre</t>
  </si>
  <si>
    <t>Stocks de produits semi-finis</t>
  </si>
  <si>
    <t>BFRE complet</t>
  </si>
  <si>
    <t>Dettes fournisseurs d'exploitation</t>
  </si>
  <si>
    <t>CA HT 2010</t>
  </si>
  <si>
    <t>CV</t>
  </si>
  <si>
    <t>CF 2010</t>
  </si>
  <si>
    <t>BN2 2010</t>
  </si>
  <si>
    <t>BN1 2010</t>
  </si>
  <si>
    <t>Impôts sur bénéfices 2010</t>
  </si>
  <si>
    <t>CAF à fin 2010 pour financer la croissance de 2011</t>
  </si>
  <si>
    <t>Dividendes à distribuer en 2011 sur bénéfices 2010</t>
  </si>
  <si>
    <t>Q8) CAF à fin 2010 pour financer la croissance de 2011</t>
  </si>
  <si>
    <t>payées le 15 du mois suivant la fin du trimestre</t>
  </si>
  <si>
    <t>TVA sur achats déductible</t>
  </si>
  <si>
    <t>TVA sur ventes collectée</t>
  </si>
  <si>
    <t>Q9) CA max 2011 autofinancé par CAF de fin 2010</t>
  </si>
  <si>
    <t>CA max HT 2011 ?</t>
  </si>
  <si>
    <t>CAF à fin 2010 pour financer le BFR max 2011</t>
  </si>
  <si>
    <t>CA HT 2011</t>
  </si>
  <si>
    <t>CF</t>
  </si>
  <si>
    <t>Amortissements</t>
  </si>
  <si>
    <t>Frais financiers</t>
  </si>
  <si>
    <t>BN2 2011</t>
  </si>
  <si>
    <t>Impôts sur bénéfices 2011</t>
  </si>
  <si>
    <t>BN1 2011</t>
  </si>
  <si>
    <t>Dividendes maximum possibles prélevés sur 2009 et versés en 2010</t>
  </si>
  <si>
    <t>Effectif de fin d'année 2009</t>
  </si>
  <si>
    <t>Salaire moyen mensuel brut/salarié</t>
  </si>
  <si>
    <t>Salaires bruts 2009</t>
  </si>
  <si>
    <t>Effectif de fin d'année 2011</t>
  </si>
  <si>
    <t>Salaire moyen mensuel brut</t>
  </si>
  <si>
    <t>Salaires bruts</t>
  </si>
  <si>
    <t>∆</t>
  </si>
  <si>
    <t>BN2</t>
  </si>
  <si>
    <t>Impôts sur bénéfices</t>
  </si>
  <si>
    <t>BN1</t>
  </si>
  <si>
    <t>Total à autofinancer</t>
  </si>
  <si>
    <t>Dividendes distribuables</t>
  </si>
  <si>
    <t>Avant augmentation de salaires en 2009</t>
  </si>
  <si>
    <t>Après augmentation de salaires en 2009</t>
  </si>
  <si>
    <t>CAF calculée sur 2009 = BN1 2009 + Amortissements 2009</t>
  </si>
  <si>
    <t>Total à financer en 2010 par la CAF 2009 sans dividendes</t>
  </si>
  <si>
    <t>Q3) CAF pour financer la croissance 2010 avec paiement client à 45 j</t>
  </si>
  <si>
    <t>Emprunt pour financer la croissance</t>
  </si>
  <si>
    <t>CA</t>
  </si>
  <si>
    <t>Achats MP (40% CA)</t>
  </si>
  <si>
    <t>Autres approvisionnements (5%)</t>
  </si>
  <si>
    <t>Services extérieurs (10%)</t>
  </si>
  <si>
    <t>Charges financières</t>
  </si>
  <si>
    <t>Charges</t>
  </si>
  <si>
    <t>Peut-on autofinancer la croissance ?</t>
  </si>
  <si>
    <t>Productivité par personne en 2011</t>
  </si>
  <si>
    <t>Productivité par personne en 2009</t>
  </si>
  <si>
    <t xml:space="preserve">Compte de résultat </t>
  </si>
  <si>
    <t>CAF 2009 = BN1 2009 + Amortissements 2009</t>
  </si>
  <si>
    <t>BN1 2009</t>
  </si>
  <si>
    <t>Amortissements 2009</t>
  </si>
  <si>
    <t xml:space="preserve">Impacts </t>
  </si>
  <si>
    <t>Investissements à financer en janvier 2010</t>
  </si>
  <si>
    <t>CV 2010</t>
  </si>
  <si>
    <t>BFR/CA en 2010 et 2011</t>
  </si>
  <si>
    <t>Créances Clients</t>
  </si>
  <si>
    <t>Dettes fournisseurs</t>
  </si>
  <si>
    <t>BFR simplifié</t>
  </si>
  <si>
    <t>Q2a) CALCUL DU BFR SIMPLIFIE</t>
  </si>
  <si>
    <t>Montant des salaires bruts annuels</t>
  </si>
  <si>
    <t>RATIO BFR/CA HT</t>
  </si>
  <si>
    <t>Q1) CA* et date du pay-back</t>
  </si>
  <si>
    <t>Tous les calculs doivent être faits sur la base de 360 j par an.</t>
  </si>
  <si>
    <t>Q2b)CALCUL DU BFR avec incidence TVA</t>
  </si>
  <si>
    <t>Créances clients (30 j de CA TTC)</t>
  </si>
  <si>
    <t>BFR en nbre de j de CA HT</t>
  </si>
  <si>
    <t>Q3) CAF pour financer la croissance 2010 avec paiement client à 30 j</t>
  </si>
  <si>
    <t>BFR à financer en 2010 pour 2800000 de CA</t>
  </si>
  <si>
    <t>Dettes fournisseurs matières premières (90 j d'achats TTC)</t>
  </si>
  <si>
    <t>MCV = Marge sur Charges Variables</t>
  </si>
  <si>
    <t>Salaire moyen brut mensuel par personne en 2009</t>
  </si>
  <si>
    <t>CA* point mort= CF/TMCV=CF/(1-CV/CA)</t>
  </si>
  <si>
    <t>BFR complet avec seulement incidence TVA</t>
  </si>
  <si>
    <t>BFR 2010 avec paiement clients à 30 j pour CA Objectif</t>
  </si>
  <si>
    <t>BFR 2010 avec paiement clients à 45 j pour CA objectif</t>
  </si>
  <si>
    <t>Quantité et valeur en stock négligeables</t>
  </si>
  <si>
    <t>Q10)BN1 2011</t>
  </si>
  <si>
    <t>Vérification BN1 2011</t>
  </si>
  <si>
    <t>(calcul des stocks au premier onglet)</t>
  </si>
  <si>
    <t>stock mp ht</t>
  </si>
  <si>
    <t>stock semifini</t>
  </si>
  <si>
    <t>stock produit finis</t>
  </si>
  <si>
    <t>Total stock à reporter à la Q2</t>
  </si>
  <si>
    <t>CALCUL DU BFR 2010 avec incidence TVA</t>
  </si>
  <si>
    <t>OUI</t>
  </si>
  <si>
    <t>dette client sur 45 j</t>
  </si>
  <si>
    <t>BFR 2 ( 45j)</t>
  </si>
  <si>
    <t>NON</t>
  </si>
  <si>
    <t>CAF pour financer la croissance 2010 avec reduction MP</t>
  </si>
  <si>
    <t>CAF avec reduction MP + 90j fournisseur</t>
  </si>
  <si>
    <t>BFR 2010 (reducMP+90j)</t>
  </si>
  <si>
    <t>BFR 2010 (reducMP)</t>
  </si>
  <si>
    <t>BFR 2010 complet avec TVA + réduction de 4,76% sur MP + 90j</t>
  </si>
  <si>
    <t>BFR 2009 complet tva avec réduction de 4,76% sur MP</t>
  </si>
  <si>
    <t>BFR 2009 complet avec TVA + réduction de 4,76% sur MP + 90j</t>
  </si>
  <si>
    <t>Compte de résultat 2010</t>
  </si>
  <si>
    <t>Donc une augmentation des délais fournisseurs permet une augmentation considérable du maximum des dividendes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</si>
</sst>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\ _€"/>
    <numFmt numFmtId="165" formatCode="#,##0.00\ _€"/>
    <numFmt numFmtId="166" formatCode="#,##0.00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8"/>
      <name val="Calibri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/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" fontId="0" fillId="0" borderId="3" xfId="0" applyNumberForma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" fontId="0" fillId="0" borderId="3" xfId="0" applyNumberFormat="1" applyBorder="1"/>
    <xf numFmtId="0" fontId="0" fillId="0" borderId="2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0" fontId="0" fillId="0" borderId="3" xfId="0" applyNumberFormat="1" applyBorder="1" applyAlignment="1">
      <alignment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 wrapText="1"/>
    </xf>
    <xf numFmtId="4" fontId="0" fillId="0" borderId="0" xfId="0" applyNumberFormat="1"/>
    <xf numFmtId="0" fontId="5" fillId="0" borderId="2" xfId="0" applyFont="1" applyBorder="1"/>
    <xf numFmtId="4" fontId="0" fillId="0" borderId="3" xfId="1" applyNumberFormat="1" applyFont="1" applyBorder="1"/>
    <xf numFmtId="4" fontId="0" fillId="0" borderId="3" xfId="2" applyNumberFormat="1" applyFont="1" applyBorder="1"/>
    <xf numFmtId="4" fontId="6" fillId="0" borderId="3" xfId="1" applyNumberFormat="1" applyFont="1" applyBorder="1"/>
    <xf numFmtId="0" fontId="5" fillId="2" borderId="4" xfId="0" applyFont="1" applyFill="1" applyBorder="1"/>
    <xf numFmtId="4" fontId="7" fillId="0" borderId="3" xfId="1" applyNumberFormat="1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/>
    <xf numFmtId="3" fontId="6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5" fillId="0" borderId="13" xfId="0" applyFont="1" applyBorder="1"/>
    <xf numFmtId="4" fontId="6" fillId="0" borderId="14" xfId="0" applyNumberFormat="1" applyFont="1" applyBorder="1"/>
    <xf numFmtId="0" fontId="5" fillId="2" borderId="15" xfId="0" applyFont="1" applyFill="1" applyBorder="1"/>
    <xf numFmtId="4" fontId="0" fillId="2" borderId="16" xfId="0" applyNumberFormat="1" applyFill="1" applyBorder="1"/>
    <xf numFmtId="0" fontId="5" fillId="0" borderId="5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6" fillId="0" borderId="3" xfId="0" applyNumberFormat="1" applyFont="1" applyBorder="1"/>
    <xf numFmtId="4" fontId="6" fillId="0" borderId="14" xfId="0" applyNumberFormat="1" applyFont="1" applyFill="1" applyBorder="1"/>
    <xf numFmtId="0" fontId="5" fillId="0" borderId="0" xfId="0" applyFont="1" applyBorder="1"/>
    <xf numFmtId="4" fontId="0" fillId="0" borderId="0" xfId="0" applyNumberFormat="1" applyBorder="1"/>
    <xf numFmtId="0" fontId="0" fillId="0" borderId="22" xfId="0" applyBorder="1"/>
    <xf numFmtId="4" fontId="0" fillId="2" borderId="9" xfId="0" applyNumberFormat="1" applyFill="1" applyBorder="1"/>
    <xf numFmtId="4" fontId="5" fillId="0" borderId="3" xfId="0" applyNumberFormat="1" applyFont="1" applyBorder="1"/>
    <xf numFmtId="10" fontId="5" fillId="0" borderId="3" xfId="0" applyNumberFormat="1" applyFont="1" applyBorder="1"/>
    <xf numFmtId="0" fontId="0" fillId="0" borderId="0" xfId="0" applyBorder="1"/>
    <xf numFmtId="0" fontId="5" fillId="0" borderId="0" xfId="0" applyFont="1" applyFill="1" applyBorder="1"/>
    <xf numFmtId="0" fontId="2" fillId="0" borderId="0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5" fillId="2" borderId="2" xfId="0" applyFont="1" applyFill="1" applyBorder="1"/>
    <xf numFmtId="4" fontId="0" fillId="2" borderId="3" xfId="0" applyNumberFormat="1" applyFill="1" applyBorder="1"/>
    <xf numFmtId="10" fontId="0" fillId="0" borderId="3" xfId="2" applyNumberFormat="1" applyFont="1" applyBorder="1"/>
    <xf numFmtId="1" fontId="0" fillId="2" borderId="9" xfId="0" applyNumberFormat="1" applyFill="1" applyBorder="1"/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5" xfId="0" applyBorder="1"/>
    <xf numFmtId="0" fontId="1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" fillId="0" borderId="2" xfId="0" applyFont="1" applyBorder="1"/>
    <xf numFmtId="2" fontId="0" fillId="0" borderId="3" xfId="0" applyNumberFormat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10" fontId="0" fillId="0" borderId="3" xfId="0" applyNumberFormat="1" applyBorder="1"/>
    <xf numFmtId="0" fontId="1" fillId="2" borderId="10" xfId="0" applyFont="1" applyFill="1" applyBorder="1"/>
    <xf numFmtId="0" fontId="0" fillId="2" borderId="2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10" fontId="0" fillId="2" borderId="3" xfId="0" applyNumberForma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4" fontId="0" fillId="2" borderId="8" xfId="0" applyNumberFormat="1" applyFill="1" applyBorder="1" applyAlignment="1">
      <alignment vertical="center" wrapText="1"/>
    </xf>
    <xf numFmtId="10" fontId="0" fillId="2" borderId="9" xfId="0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0" fontId="2" fillId="0" borderId="2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2" xfId="0" applyFont="1" applyFill="1" applyBorder="1"/>
    <xf numFmtId="0" fontId="0" fillId="0" borderId="2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4" fontId="0" fillId="2" borderId="3" xfId="1" applyNumberFormat="1" applyFont="1" applyFill="1" applyBorder="1" applyAlignment="1">
      <alignment horizontal="center"/>
    </xf>
    <xf numFmtId="0" fontId="1" fillId="2" borderId="2" xfId="0" applyFont="1" applyFill="1" applyBorder="1"/>
    <xf numFmtId="4" fontId="6" fillId="0" borderId="25" xfId="1" applyNumberFormat="1" applyFont="1" applyFill="1" applyBorder="1"/>
    <xf numFmtId="4" fontId="0" fillId="0" borderId="26" xfId="2" applyNumberFormat="1" applyFont="1" applyBorder="1"/>
    <xf numFmtId="4" fontId="6" fillId="0" borderId="26" xfId="1" applyNumberFormat="1" applyFont="1" applyBorder="1"/>
    <xf numFmtId="4" fontId="7" fillId="0" borderId="26" xfId="1" applyNumberFormat="1" applyFont="1" applyBorder="1"/>
    <xf numFmtId="4" fontId="0" fillId="0" borderId="26" xfId="1" applyNumberFormat="1" applyFont="1" applyBorder="1"/>
    <xf numFmtId="4" fontId="0" fillId="2" borderId="26" xfId="1" applyNumberFormat="1" applyFont="1" applyFill="1" applyBorder="1" applyAlignment="1">
      <alignment horizontal="center"/>
    </xf>
    <xf numFmtId="4" fontId="6" fillId="2" borderId="17" xfId="1" applyNumberFormat="1" applyFont="1" applyFill="1" applyBorder="1" applyAlignment="1">
      <alignment horizontal="center"/>
    </xf>
    <xf numFmtId="4" fontId="6" fillId="0" borderId="3" xfId="1" applyNumberFormat="1" applyFont="1" applyFill="1" applyBorder="1"/>
    <xf numFmtId="4" fontId="6" fillId="2" borderId="3" xfId="1" applyNumberFormat="1" applyFont="1" applyFill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2" borderId="4" xfId="0" applyFont="1" applyFill="1" applyBorder="1"/>
    <xf numFmtId="0" fontId="2" fillId="0" borderId="2" xfId="0" applyFont="1" applyBorder="1"/>
    <xf numFmtId="0" fontId="1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4" fontId="2" fillId="2" borderId="8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4" fontId="2" fillId="2" borderId="9" xfId="0" applyNumberFormat="1" applyFont="1" applyFill="1" applyBorder="1"/>
    <xf numFmtId="0" fontId="1" fillId="2" borderId="31" xfId="0" applyFont="1" applyFill="1" applyBorder="1"/>
    <xf numFmtId="4" fontId="0" fillId="0" borderId="32" xfId="0" applyNumberFormat="1" applyBorder="1"/>
    <xf numFmtId="0" fontId="0" fillId="0" borderId="0" xfId="0" applyAlignment="1">
      <alignment vertical="center"/>
    </xf>
    <xf numFmtId="3" fontId="6" fillId="0" borderId="3" xfId="0" applyNumberFormat="1" applyFont="1" applyBorder="1" applyAlignment="1">
      <alignment vertical="center"/>
    </xf>
    <xf numFmtId="10" fontId="0" fillId="0" borderId="3" xfId="2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3" fontId="0" fillId="2" borderId="9" xfId="0" applyNumberForma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4" fontId="0" fillId="2" borderId="9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vertical="center"/>
    </xf>
    <xf numFmtId="0" fontId="6" fillId="0" borderId="0" xfId="0" applyFont="1"/>
    <xf numFmtId="0" fontId="0" fillId="0" borderId="0" xfId="0" applyFill="1" applyBorder="1" applyAlignment="1">
      <alignment vertical="center" wrapText="1"/>
    </xf>
    <xf numFmtId="0" fontId="2" fillId="0" borderId="33" xfId="0" applyFont="1" applyFill="1" applyBorder="1" applyAlignment="1">
      <alignment horizontal="center" vertical="center" wrapText="1"/>
    </xf>
    <xf numFmtId="4" fontId="0" fillId="0" borderId="34" xfId="0" applyNumberFormat="1" applyBorder="1"/>
    <xf numFmtId="4" fontId="2" fillId="2" borderId="35" xfId="0" applyNumberFormat="1" applyFont="1" applyFill="1" applyBorder="1"/>
    <xf numFmtId="3" fontId="7" fillId="0" borderId="3" xfId="0" applyNumberFormat="1" applyFont="1" applyBorder="1"/>
    <xf numFmtId="0" fontId="0" fillId="0" borderId="2" xfId="0" applyFont="1" applyBorder="1"/>
    <xf numFmtId="164" fontId="6" fillId="0" borderId="3" xfId="0" applyNumberFormat="1" applyFont="1" applyBorder="1" applyAlignment="1">
      <alignment vertical="center"/>
    </xf>
    <xf numFmtId="165" fontId="0" fillId="2" borderId="1" xfId="0" applyNumberFormat="1" applyFill="1" applyBorder="1" applyAlignment="1">
      <alignment horizontal="right" vertical="center" wrapText="1"/>
    </xf>
    <xf numFmtId="165" fontId="0" fillId="2" borderId="1" xfId="0" applyNumberForma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26" xfId="0" applyBorder="1" applyAlignment="1">
      <alignment vertical="center"/>
    </xf>
    <xf numFmtId="4" fontId="0" fillId="0" borderId="30" xfId="0" applyNumberForma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0" fillId="0" borderId="38" xfId="0" applyBorder="1"/>
    <xf numFmtId="0" fontId="0" fillId="0" borderId="35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4" fontId="0" fillId="0" borderId="44" xfId="0" applyNumberFormat="1" applyBorder="1"/>
    <xf numFmtId="166" fontId="2" fillId="2" borderId="8" xfId="0" applyNumberFormat="1" applyFont="1" applyFill="1" applyBorder="1" applyAlignment="1">
      <alignment horizontal="center"/>
    </xf>
    <xf numFmtId="10" fontId="0" fillId="0" borderId="0" xfId="0" applyNumberFormat="1"/>
    <xf numFmtId="3" fontId="7" fillId="2" borderId="1" xfId="0" applyNumberFormat="1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10" fontId="0" fillId="0" borderId="3" xfId="0" applyNumberForma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4" fontId="0" fillId="0" borderId="8" xfId="0" applyNumberFormat="1" applyFill="1" applyBorder="1" applyAlignment="1">
      <alignment vertical="center" wrapText="1"/>
    </xf>
    <xf numFmtId="10" fontId="0" fillId="0" borderId="9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10" fontId="2" fillId="3" borderId="0" xfId="0" applyNumberFormat="1" applyFont="1" applyFill="1"/>
    <xf numFmtId="165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/>
    </xf>
    <xf numFmtId="0" fontId="5" fillId="2" borderId="13" xfId="0" applyFont="1" applyFill="1" applyBorder="1"/>
    <xf numFmtId="4" fontId="6" fillId="2" borderId="14" xfId="1" applyNumberFormat="1" applyFont="1" applyFill="1" applyBorder="1" applyAlignment="1">
      <alignment horizontal="center"/>
    </xf>
    <xf numFmtId="4" fontId="0" fillId="0" borderId="0" xfId="0" applyNumberFormat="1" applyFill="1" applyBorder="1"/>
    <xf numFmtId="0" fontId="1" fillId="0" borderId="10" xfId="0" applyFont="1" applyFill="1" applyBorder="1"/>
    <xf numFmtId="3" fontId="2" fillId="0" borderId="1" xfId="0" applyNumberFormat="1" applyFont="1" applyFill="1" applyBorder="1" applyAlignment="1">
      <alignment vertical="center"/>
    </xf>
    <xf numFmtId="3" fontId="0" fillId="0" borderId="1" xfId="0" applyNumberFormat="1" applyFill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0" fontId="2" fillId="2" borderId="17" xfId="0" applyNumberFormat="1" applyFont="1" applyFill="1" applyBorder="1" applyAlignment="1">
      <alignment horizontal="center" vertical="center"/>
    </xf>
    <xf numFmtId="10" fontId="2" fillId="2" borderId="18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2" fillId="2" borderId="36" xfId="0" applyNumberFormat="1" applyFont="1" applyFill="1" applyBorder="1" applyAlignment="1">
      <alignment horizontal="center" vertical="center"/>
    </xf>
    <xf numFmtId="4" fontId="2" fillId="2" borderId="37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2" fillId="0" borderId="26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" xfId="0" applyFont="1" applyFill="1" applyBorder="1"/>
    <xf numFmtId="0" fontId="0" fillId="2" borderId="0" xfId="0" applyFill="1"/>
  </cellXfs>
  <cellStyles count="29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B10" sqref="B10"/>
    </sheetView>
  </sheetViews>
  <sheetFormatPr baseColWidth="10" defaultRowHeight="12.75" x14ac:dyDescent="0.2"/>
  <cols>
    <col min="1" max="1" width="39.85546875" customWidth="1"/>
    <col min="2" max="2" width="11.7109375" bestFit="1" customWidth="1"/>
    <col min="5" max="5" width="46.7109375" customWidth="1"/>
    <col min="6" max="6" width="32.7109375" customWidth="1"/>
    <col min="7" max="7" width="21.85546875" customWidth="1"/>
  </cols>
  <sheetData>
    <row r="1" spans="1:7" ht="38.25" x14ac:dyDescent="0.2">
      <c r="A1" s="21" t="s">
        <v>101</v>
      </c>
      <c r="B1" s="22" t="s">
        <v>2</v>
      </c>
      <c r="C1" s="23" t="s">
        <v>3</v>
      </c>
      <c r="E1" s="27"/>
      <c r="F1" s="22" t="s">
        <v>15</v>
      </c>
      <c r="G1" s="23" t="s">
        <v>33</v>
      </c>
    </row>
    <row r="2" spans="1:7" x14ac:dyDescent="0.2">
      <c r="A2" s="11" t="s">
        <v>0</v>
      </c>
      <c r="B2" s="42">
        <v>2400000</v>
      </c>
      <c r="C2" s="25">
        <f>B2/B2</f>
        <v>1</v>
      </c>
      <c r="E2" s="18"/>
      <c r="F2" s="17"/>
      <c r="G2" s="28"/>
    </row>
    <row r="3" spans="1:7" x14ac:dyDescent="0.2">
      <c r="A3" s="11" t="s">
        <v>11</v>
      </c>
      <c r="B3" s="20"/>
      <c r="C3" s="25"/>
      <c r="E3" s="18" t="s">
        <v>12</v>
      </c>
      <c r="F3" s="157">
        <f>(G3/360)*B5</f>
        <v>70000</v>
      </c>
      <c r="G3" s="40">
        <v>30</v>
      </c>
    </row>
    <row r="4" spans="1:7" ht="25.5" x14ac:dyDescent="0.2">
      <c r="A4" s="129" t="s">
        <v>29</v>
      </c>
      <c r="B4" s="145">
        <f>SUM(B5:B7)</f>
        <v>1200000</v>
      </c>
      <c r="C4" s="83">
        <f>B4/B2</f>
        <v>0.5</v>
      </c>
      <c r="E4" s="18" t="s">
        <v>14</v>
      </c>
      <c r="F4" s="19" t="s">
        <v>129</v>
      </c>
      <c r="G4" s="40"/>
    </row>
    <row r="5" spans="1:7" x14ac:dyDescent="0.2">
      <c r="A5" s="18" t="s">
        <v>1</v>
      </c>
      <c r="B5" s="144">
        <v>840000</v>
      </c>
      <c r="C5" s="83">
        <f>B5/B2</f>
        <v>0.35</v>
      </c>
      <c r="E5" s="43" t="s">
        <v>48</v>
      </c>
      <c r="F5" s="156">
        <f>(G5/360)*B2*(0.6)</f>
        <v>79999.999999999985</v>
      </c>
      <c r="G5" s="130">
        <v>20</v>
      </c>
    </row>
    <row r="6" spans="1:7" ht="13.5" thickBot="1" x14ac:dyDescent="0.25">
      <c r="A6" s="18" t="s">
        <v>4</v>
      </c>
      <c r="B6" s="144">
        <v>120000</v>
      </c>
      <c r="C6" s="87">
        <f>B6/B2</f>
        <v>0.05</v>
      </c>
      <c r="E6" s="30" t="s">
        <v>38</v>
      </c>
      <c r="F6" s="32" t="s">
        <v>39</v>
      </c>
      <c r="G6" s="133"/>
    </row>
    <row r="7" spans="1:7" x14ac:dyDescent="0.2">
      <c r="A7" s="18" t="s">
        <v>5</v>
      </c>
      <c r="B7" s="144">
        <v>240000</v>
      </c>
      <c r="C7" s="25">
        <f>B7/B2</f>
        <v>0.1</v>
      </c>
      <c r="E7" s="18" t="s">
        <v>21</v>
      </c>
      <c r="F7" s="156">
        <f>(G7/360)*B2*(0.8)</f>
        <v>53333.333333333328</v>
      </c>
      <c r="G7" s="40">
        <v>10</v>
      </c>
    </row>
    <row r="8" spans="1:7" x14ac:dyDescent="0.2">
      <c r="A8" s="11" t="s">
        <v>123</v>
      </c>
      <c r="B8" s="146">
        <f>B2-B4</f>
        <v>1200000</v>
      </c>
      <c r="C8" s="83">
        <f>B8/B2</f>
        <v>0.5</v>
      </c>
      <c r="E8" s="31" t="s">
        <v>34</v>
      </c>
      <c r="F8" s="136" t="s">
        <v>35</v>
      </c>
      <c r="G8" s="137"/>
    </row>
    <row r="9" spans="1:7" x14ac:dyDescent="0.2">
      <c r="A9" s="11"/>
      <c r="B9" s="146"/>
      <c r="C9" s="83">
        <f>B9/B2</f>
        <v>0</v>
      </c>
      <c r="E9" s="18" t="s">
        <v>13</v>
      </c>
      <c r="F9" s="156">
        <f>(G9/360)*B2</f>
        <v>200000</v>
      </c>
      <c r="G9" s="40">
        <v>30</v>
      </c>
    </row>
    <row r="10" spans="1:7" ht="26.25" thickBot="1" x14ac:dyDescent="0.25">
      <c r="A10" s="129" t="s">
        <v>30</v>
      </c>
      <c r="B10" s="145">
        <f>SUM(B11:B14)</f>
        <v>951000</v>
      </c>
      <c r="C10" s="87">
        <f>B10/B2</f>
        <v>0.39624999999999999</v>
      </c>
      <c r="E10" s="18" t="s">
        <v>16</v>
      </c>
      <c r="F10" s="156">
        <f>(G10/360)*B5</f>
        <v>140000</v>
      </c>
      <c r="G10" s="40">
        <v>60</v>
      </c>
    </row>
    <row r="11" spans="1:7" ht="25.5" x14ac:dyDescent="0.2">
      <c r="A11" s="18" t="s">
        <v>6</v>
      </c>
      <c r="B11" s="144">
        <v>490000</v>
      </c>
      <c r="C11" s="25">
        <f>B11/B2</f>
        <v>0.20416666666666666</v>
      </c>
      <c r="E11" s="18" t="s">
        <v>17</v>
      </c>
      <c r="F11" s="156">
        <f>(G11/360)*(B6+B7)</f>
        <v>45000</v>
      </c>
      <c r="G11" s="40">
        <v>45</v>
      </c>
    </row>
    <row r="12" spans="1:7" x14ac:dyDescent="0.2">
      <c r="A12" s="18" t="s">
        <v>7</v>
      </c>
      <c r="B12" s="144">
        <v>245000</v>
      </c>
      <c r="C12" s="83">
        <f>B12/B2</f>
        <v>0.10208333333333333</v>
      </c>
      <c r="E12" s="18" t="s">
        <v>18</v>
      </c>
      <c r="F12" s="26">
        <v>0.19600000000000001</v>
      </c>
      <c r="G12" s="24"/>
    </row>
    <row r="13" spans="1:7" x14ac:dyDescent="0.2">
      <c r="A13" s="18" t="s">
        <v>8</v>
      </c>
      <c r="B13" s="42">
        <v>192000</v>
      </c>
      <c r="C13" s="83">
        <f>B13/B2</f>
        <v>0.08</v>
      </c>
      <c r="E13" s="18" t="s">
        <v>19</v>
      </c>
      <c r="F13" s="19" t="s">
        <v>20</v>
      </c>
      <c r="G13" s="24"/>
    </row>
    <row r="14" spans="1:7" ht="26.25" thickBot="1" x14ac:dyDescent="0.25">
      <c r="A14" s="18" t="s">
        <v>9</v>
      </c>
      <c r="B14" s="42">
        <v>24000</v>
      </c>
      <c r="C14" s="87">
        <f>B14/B2</f>
        <v>0.01</v>
      </c>
      <c r="E14" s="18" t="s">
        <v>7</v>
      </c>
      <c r="F14" s="52" t="s">
        <v>60</v>
      </c>
      <c r="G14" s="24"/>
    </row>
    <row r="15" spans="1:7" ht="26.25" thickBot="1" x14ac:dyDescent="0.25">
      <c r="A15" s="11" t="s">
        <v>10</v>
      </c>
      <c r="B15" s="20">
        <f>B4+B10</f>
        <v>2151000</v>
      </c>
      <c r="C15" s="25">
        <f>B15/B2</f>
        <v>0.89624999999999999</v>
      </c>
      <c r="E15" s="46" t="s">
        <v>9</v>
      </c>
      <c r="F15" s="44" t="s">
        <v>47</v>
      </c>
      <c r="G15" s="29"/>
    </row>
    <row r="16" spans="1:7" x14ac:dyDescent="0.2">
      <c r="A16" s="81" t="s">
        <v>31</v>
      </c>
      <c r="B16" s="82">
        <f>B2-B15</f>
        <v>249000</v>
      </c>
      <c r="C16" s="83">
        <f>B16/B2</f>
        <v>0.10375</v>
      </c>
    </row>
    <row r="17" spans="1:6" x14ac:dyDescent="0.2">
      <c r="A17" s="84" t="s">
        <v>46</v>
      </c>
      <c r="B17" s="82">
        <f>(1/3)*B16</f>
        <v>83000</v>
      </c>
      <c r="C17" s="83">
        <f>B17/B2</f>
        <v>3.4583333333333334E-2</v>
      </c>
      <c r="E17" s="162" t="s">
        <v>136</v>
      </c>
      <c r="F17" s="33">
        <f>F3+F5+F7</f>
        <v>203333.33333333331</v>
      </c>
    </row>
    <row r="18" spans="1:6" ht="13.5" thickBot="1" x14ac:dyDescent="0.25">
      <c r="A18" s="85" t="s">
        <v>32</v>
      </c>
      <c r="B18" s="86">
        <f>B16-B17</f>
        <v>166000</v>
      </c>
      <c r="C18" s="87">
        <f>B18/B2</f>
        <v>6.9166666666666668E-2</v>
      </c>
    </row>
    <row r="19" spans="1:6" x14ac:dyDescent="0.2">
      <c r="A19" s="3"/>
      <c r="B19" s="3"/>
      <c r="C19" s="3"/>
    </row>
    <row r="20" spans="1:6" ht="25.5" x14ac:dyDescent="0.2">
      <c r="A20" s="149" t="s">
        <v>124</v>
      </c>
      <c r="B20" s="148">
        <v>2500</v>
      </c>
      <c r="C20" s="2"/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38" sqref="A38"/>
    </sheetView>
  </sheetViews>
  <sheetFormatPr baseColWidth="10" defaultRowHeight="12.75" x14ac:dyDescent="0.2"/>
  <cols>
    <col min="1" max="1" width="40.140625" bestFit="1" customWidth="1"/>
  </cols>
  <sheetData>
    <row r="1" spans="1:2" x14ac:dyDescent="0.2">
      <c r="A1" s="207" t="s">
        <v>115</v>
      </c>
      <c r="B1" s="208"/>
    </row>
    <row r="2" spans="1:2" x14ac:dyDescent="0.2">
      <c r="A2" s="110" t="s">
        <v>0</v>
      </c>
      <c r="B2" s="127">
        <v>2400000</v>
      </c>
    </row>
    <row r="3" spans="1:2" x14ac:dyDescent="0.2">
      <c r="A3" s="110" t="s">
        <v>40</v>
      </c>
      <c r="B3" s="147">
        <v>951000</v>
      </c>
    </row>
    <row r="4" spans="1:2" x14ac:dyDescent="0.2">
      <c r="A4" s="110" t="s">
        <v>41</v>
      </c>
      <c r="B4" s="128">
        <f>B5/B2</f>
        <v>0.5</v>
      </c>
    </row>
    <row r="5" spans="1:2" x14ac:dyDescent="0.2">
      <c r="A5" s="110" t="s">
        <v>52</v>
      </c>
      <c r="B5" s="147">
        <v>1200000</v>
      </c>
    </row>
    <row r="6" spans="1:2" ht="13.5" thickBot="1" x14ac:dyDescent="0.25">
      <c r="A6" s="131" t="s">
        <v>125</v>
      </c>
      <c r="B6" s="132">
        <f>B3/(1-(B5/B2))</f>
        <v>1902000</v>
      </c>
    </row>
    <row r="7" spans="1:2" ht="13.5" thickBot="1" x14ac:dyDescent="0.25">
      <c r="A7" s="126"/>
      <c r="B7" s="126"/>
    </row>
    <row r="8" spans="1:2" x14ac:dyDescent="0.2">
      <c r="A8" s="134" t="s">
        <v>43</v>
      </c>
      <c r="B8" s="135">
        <f>B6*365/B2</f>
        <v>289.26249999999999</v>
      </c>
    </row>
    <row r="9" spans="1:2" ht="13.5" thickBot="1" x14ac:dyDescent="0.25">
      <c r="A9" s="131" t="s">
        <v>42</v>
      </c>
      <c r="B9" s="138">
        <f>DATE(2009,1,1)+B6*365/B2</f>
        <v>40103.262499999997</v>
      </c>
    </row>
    <row r="10" spans="1:2" ht="13.5" thickBot="1" x14ac:dyDescent="0.25">
      <c r="A10" s="126"/>
      <c r="B10" s="126"/>
    </row>
    <row r="11" spans="1:2" x14ac:dyDescent="0.2">
      <c r="A11" s="209" t="s">
        <v>74</v>
      </c>
      <c r="B11" s="210"/>
    </row>
    <row r="12" spans="1:2" x14ac:dyDescent="0.2">
      <c r="A12" s="141" t="s">
        <v>75</v>
      </c>
      <c r="B12" s="155">
        <v>2500</v>
      </c>
    </row>
    <row r="13" spans="1:2" x14ac:dyDescent="0.2">
      <c r="A13" s="141" t="s">
        <v>76</v>
      </c>
      <c r="B13" s="142">
        <v>490000</v>
      </c>
    </row>
    <row r="14" spans="1:2" x14ac:dyDescent="0.2">
      <c r="A14" s="158" t="s">
        <v>74</v>
      </c>
      <c r="B14" s="159">
        <f>INT(490000/(2500*12))+1</f>
        <v>17</v>
      </c>
    </row>
    <row r="15" spans="1:2" x14ac:dyDescent="0.2">
      <c r="A15" s="160" t="s">
        <v>100</v>
      </c>
      <c r="B15" s="88">
        <f>2400000/17</f>
        <v>141176.4705882353</v>
      </c>
    </row>
  </sheetData>
  <mergeCells count="2">
    <mergeCell ref="A1:B1"/>
    <mergeCell ref="A11:B11"/>
  </mergeCells>
  <phoneticPr fontId="3" type="noConversion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60"/>
  <sheetViews>
    <sheetView workbookViewId="0">
      <selection activeCell="D27" sqref="D27"/>
    </sheetView>
  </sheetViews>
  <sheetFormatPr baseColWidth="10" defaultRowHeight="12.75" x14ac:dyDescent="0.2"/>
  <cols>
    <col min="1" max="1" width="20" customWidth="1"/>
    <col min="2" max="2" width="10.7109375" bestFit="1" customWidth="1"/>
    <col min="3" max="3" width="9.7109375" customWidth="1"/>
    <col min="4" max="4" width="49.85546875" bestFit="1" customWidth="1"/>
    <col min="5" max="5" width="23.7109375" bestFit="1" customWidth="1"/>
    <col min="7" max="7" width="32.42578125" bestFit="1" customWidth="1"/>
    <col min="8" max="8" width="13.140625" bestFit="1" customWidth="1"/>
    <col min="9" max="9" width="14.42578125" bestFit="1" customWidth="1"/>
  </cols>
  <sheetData>
    <row r="1" spans="1:6" ht="26.25" customHeight="1" x14ac:dyDescent="0.2">
      <c r="A1" s="221" t="s">
        <v>112</v>
      </c>
      <c r="B1" s="222"/>
      <c r="C1" s="150"/>
      <c r="D1" s="214" t="s">
        <v>117</v>
      </c>
      <c r="E1" s="215"/>
      <c r="F1" s="216"/>
    </row>
    <row r="2" spans="1:6" ht="25.5" x14ac:dyDescent="0.2">
      <c r="A2" s="31" t="s">
        <v>22</v>
      </c>
      <c r="B2" s="13">
        <f>B11+B12+B13</f>
        <v>203333.33333333334</v>
      </c>
      <c r="C2" s="151"/>
      <c r="D2" s="8"/>
      <c r="E2" s="4" t="s">
        <v>25</v>
      </c>
      <c r="F2" s="9" t="s">
        <v>26</v>
      </c>
    </row>
    <row r="3" spans="1:6" x14ac:dyDescent="0.2">
      <c r="A3" s="31" t="s">
        <v>109</v>
      </c>
      <c r="B3" s="15">
        <f>(30/360)*2400000</f>
        <v>200000</v>
      </c>
      <c r="C3" s="151"/>
      <c r="D3" s="107" t="s">
        <v>22</v>
      </c>
      <c r="E3" s="6">
        <f>E4+E5+E6</f>
        <v>203333.33333333334</v>
      </c>
      <c r="F3" s="140"/>
    </row>
    <row r="4" spans="1:6" x14ac:dyDescent="0.2">
      <c r="A4" s="31" t="s">
        <v>110</v>
      </c>
      <c r="B4" s="15">
        <f>(60/360)*840000</f>
        <v>140000</v>
      </c>
      <c r="C4" s="151"/>
      <c r="D4" s="108" t="s">
        <v>12</v>
      </c>
      <c r="E4" s="88">
        <f>(30/360)*840000</f>
        <v>70000</v>
      </c>
      <c r="F4" s="140"/>
    </row>
    <row r="5" spans="1:6" ht="13.5" thickBot="1" x14ac:dyDescent="0.25">
      <c r="A5" s="122" t="s">
        <v>111</v>
      </c>
      <c r="B5" s="123">
        <f>B2+B3-B4</f>
        <v>263333.33333333337</v>
      </c>
      <c r="C5" s="152"/>
      <c r="D5" s="108" t="s">
        <v>36</v>
      </c>
      <c r="E5" s="88">
        <f>(20/360)*0.6*2400000</f>
        <v>80000</v>
      </c>
      <c r="F5" s="140"/>
    </row>
    <row r="6" spans="1:6" x14ac:dyDescent="0.2">
      <c r="B6" s="1"/>
      <c r="C6" s="1"/>
      <c r="D6" s="108" t="s">
        <v>21</v>
      </c>
      <c r="E6" s="88">
        <f>(10/360)*0.8*2400000</f>
        <v>53333.333333333336</v>
      </c>
      <c r="F6" s="140"/>
    </row>
    <row r="7" spans="1:6" x14ac:dyDescent="0.2">
      <c r="B7" s="1"/>
      <c r="C7" s="1"/>
      <c r="D7" s="11" t="s">
        <v>118</v>
      </c>
      <c r="E7" s="6">
        <f>(30/360)*2400000*1.196</f>
        <v>239200</v>
      </c>
      <c r="F7" s="140"/>
    </row>
    <row r="8" spans="1:6" x14ac:dyDescent="0.2">
      <c r="B8" s="1"/>
      <c r="C8" s="1"/>
      <c r="D8" s="11" t="s">
        <v>50</v>
      </c>
      <c r="E8" s="5"/>
      <c r="F8" s="164">
        <f>(60/360)*840000*1.196</f>
        <v>167440</v>
      </c>
    </row>
    <row r="9" spans="1:6" ht="25.5" x14ac:dyDescent="0.2">
      <c r="B9" s="1"/>
      <c r="C9" s="1"/>
      <c r="D9" s="12" t="s">
        <v>23</v>
      </c>
      <c r="E9" s="5"/>
      <c r="F9" s="163">
        <f>(60/360)*840000*1.196</f>
        <v>167440</v>
      </c>
    </row>
    <row r="10" spans="1:6" ht="25.5" x14ac:dyDescent="0.2">
      <c r="B10" s="1"/>
      <c r="C10" s="1"/>
      <c r="D10" s="12" t="s">
        <v>24</v>
      </c>
      <c r="E10" s="5"/>
      <c r="F10" s="163">
        <f>(45/360)*120000*1.196</f>
        <v>17940</v>
      </c>
    </row>
    <row r="11" spans="1:6" x14ac:dyDescent="0.2">
      <c r="A11" s="161" t="s">
        <v>133</v>
      </c>
      <c r="B11" s="88">
        <f>(30/360)*840000</f>
        <v>70000</v>
      </c>
      <c r="C11" s="1"/>
      <c r="D11" s="12" t="s">
        <v>37</v>
      </c>
      <c r="E11" s="5"/>
      <c r="F11" s="163">
        <f>(45/360)*240000*1.196</f>
        <v>35880</v>
      </c>
    </row>
    <row r="12" spans="1:6" x14ac:dyDescent="0.2">
      <c r="A12" s="161" t="s">
        <v>134</v>
      </c>
      <c r="B12" s="88">
        <f>(20/360)*0.6*2400000</f>
        <v>80000</v>
      </c>
      <c r="C12" s="1"/>
      <c r="D12" s="14"/>
      <c r="E12" s="6"/>
      <c r="F12" s="140"/>
    </row>
    <row r="13" spans="1:6" x14ac:dyDescent="0.2">
      <c r="A13" s="161" t="s">
        <v>135</v>
      </c>
      <c r="B13" s="88">
        <f>(10/360)*0.8*2400000</f>
        <v>53333.333333333336</v>
      </c>
      <c r="C13" s="1"/>
      <c r="D13" s="109" t="s">
        <v>61</v>
      </c>
      <c r="E13" s="88">
        <f>(840000+120000+240000)*(35/360)*0.196</f>
        <v>22866.666666666668</v>
      </c>
      <c r="F13" s="140"/>
    </row>
    <row r="14" spans="1:6" x14ac:dyDescent="0.2">
      <c r="B14" s="1"/>
      <c r="C14" s="1"/>
      <c r="D14" s="53" t="s">
        <v>62</v>
      </c>
      <c r="E14" s="139"/>
      <c r="F14" s="89">
        <f>2400000*(35/360)*0.196</f>
        <v>45733.333333333336</v>
      </c>
    </row>
    <row r="15" spans="1:6" x14ac:dyDescent="0.2">
      <c r="A15" s="161" t="s">
        <v>132</v>
      </c>
      <c r="B15" s="1"/>
      <c r="C15" s="1"/>
      <c r="D15" s="110" t="s">
        <v>27</v>
      </c>
      <c r="E15" s="6">
        <f>SUM(E4:E14)</f>
        <v>465400.00000000006</v>
      </c>
      <c r="F15" s="13">
        <f>SUM(F9:F14)</f>
        <v>266993.33333333331</v>
      </c>
    </row>
    <row r="16" spans="1:6" x14ac:dyDescent="0.2">
      <c r="D16" s="112" t="s">
        <v>126</v>
      </c>
      <c r="E16" s="212">
        <f>E4+E5+E6+E7+E13-F9-F10-F11-F14</f>
        <v>198406.66666666672</v>
      </c>
      <c r="F16" s="213"/>
    </row>
    <row r="17" spans="2:9" ht="13.5" thickBot="1" x14ac:dyDescent="0.25">
      <c r="B17" s="1"/>
      <c r="C17" s="1"/>
      <c r="D17" s="113" t="s">
        <v>114</v>
      </c>
      <c r="E17" s="217">
        <f>E16/2400000</f>
        <v>8.2669444444444462E-2</v>
      </c>
      <c r="F17" s="218"/>
    </row>
    <row r="18" spans="2:9" x14ac:dyDescent="0.2">
      <c r="D18" s="143" t="s">
        <v>119</v>
      </c>
      <c r="E18" s="223">
        <f>E16*360/2400000</f>
        <v>29.761000000000006</v>
      </c>
      <c r="F18" s="224"/>
    </row>
    <row r="19" spans="2:9" x14ac:dyDescent="0.2">
      <c r="D19" s="167" t="s">
        <v>116</v>
      </c>
      <c r="E19" s="165"/>
      <c r="F19" s="166"/>
    </row>
    <row r="23" spans="2:9" x14ac:dyDescent="0.2">
      <c r="H23" s="126"/>
      <c r="I23" s="126"/>
    </row>
    <row r="41" spans="2:5" ht="26.25" customHeight="1" x14ac:dyDescent="0.2">
      <c r="B41" s="219"/>
      <c r="C41" s="219"/>
      <c r="D41" s="219"/>
      <c r="E41" s="219"/>
    </row>
    <row r="42" spans="2:5" x14ac:dyDescent="0.2">
      <c r="B42" s="56"/>
      <c r="C42" s="56"/>
      <c r="D42" s="57"/>
      <c r="E42" s="62"/>
    </row>
    <row r="43" spans="2:5" x14ac:dyDescent="0.2">
      <c r="B43" s="56"/>
      <c r="C43" s="56"/>
      <c r="D43" s="57"/>
      <c r="E43" s="62"/>
    </row>
    <row r="44" spans="2:5" x14ac:dyDescent="0.2">
      <c r="B44" s="63"/>
      <c r="C44" s="63"/>
      <c r="D44" s="62"/>
      <c r="E44" s="57"/>
    </row>
    <row r="45" spans="2:5" x14ac:dyDescent="0.2">
      <c r="B45" s="64"/>
      <c r="C45" s="64"/>
      <c r="D45" s="220"/>
      <c r="E45" s="220"/>
    </row>
    <row r="46" spans="2:5" x14ac:dyDescent="0.2">
      <c r="B46" s="64"/>
      <c r="C46" s="64"/>
      <c r="D46" s="211"/>
      <c r="E46" s="211"/>
    </row>
    <row r="51" ht="28.5" customHeight="1" x14ac:dyDescent="0.2"/>
    <row r="52" ht="26.25" customHeight="1" x14ac:dyDescent="0.2"/>
    <row r="54" ht="27" customHeight="1" x14ac:dyDescent="0.2"/>
    <row r="58" ht="25.5" customHeight="1" x14ac:dyDescent="0.2"/>
    <row r="60" ht="25.5" customHeight="1" x14ac:dyDescent="0.2"/>
  </sheetData>
  <mergeCells count="8">
    <mergeCell ref="D46:E46"/>
    <mergeCell ref="E16:F16"/>
    <mergeCell ref="D1:F1"/>
    <mergeCell ref="E17:F17"/>
    <mergeCell ref="B41:E41"/>
    <mergeCell ref="D45:E45"/>
    <mergeCell ref="A1:B1"/>
    <mergeCell ref="E18:F18"/>
  </mergeCells>
  <phoneticPr fontId="3" type="noConversion"/>
  <printOptions headings="1" gridLines="1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F15" sqref="F15"/>
    </sheetView>
  </sheetViews>
  <sheetFormatPr baseColWidth="10" defaultRowHeight="12.75" x14ac:dyDescent="0.2"/>
  <cols>
    <col min="1" max="1" width="58.42578125" bestFit="1" customWidth="1"/>
    <col min="2" max="2" width="11.7109375" bestFit="1" customWidth="1"/>
    <col min="3" max="3" width="58.42578125" bestFit="1" customWidth="1"/>
    <col min="4" max="4" width="11.7109375" bestFit="1" customWidth="1"/>
  </cols>
  <sheetData>
    <row r="1" spans="1:5" ht="13.5" thickBot="1" x14ac:dyDescent="0.25">
      <c r="A1" s="225" t="s">
        <v>120</v>
      </c>
      <c r="B1" s="226"/>
      <c r="C1" s="227" t="s">
        <v>90</v>
      </c>
      <c r="D1" s="228"/>
      <c r="E1" s="90"/>
    </row>
    <row r="2" spans="1:5" x14ac:dyDescent="0.2">
      <c r="A2" s="51" t="s">
        <v>44</v>
      </c>
      <c r="B2" s="98">
        <v>2800000</v>
      </c>
      <c r="C2" s="65" t="s">
        <v>44</v>
      </c>
      <c r="D2" s="105">
        <v>2800000</v>
      </c>
    </row>
    <row r="3" spans="1:5" x14ac:dyDescent="0.2">
      <c r="A3" s="154" t="s">
        <v>127</v>
      </c>
      <c r="B3" s="99">
        <f>B65</f>
        <v>231474.44444444444</v>
      </c>
      <c r="C3" s="154" t="s">
        <v>128</v>
      </c>
      <c r="D3" s="36">
        <f>G65</f>
        <v>371007.77777777781</v>
      </c>
    </row>
    <row r="4" spans="1:5" x14ac:dyDescent="0.2">
      <c r="A4" s="34" t="s">
        <v>45</v>
      </c>
      <c r="B4" s="100">
        <v>100000</v>
      </c>
      <c r="C4" s="34" t="s">
        <v>45</v>
      </c>
      <c r="D4" s="37">
        <v>100000</v>
      </c>
    </row>
    <row r="5" spans="1:5" x14ac:dyDescent="0.2">
      <c r="A5" s="76" t="s">
        <v>89</v>
      </c>
      <c r="B5" s="101">
        <f>B3+B4</f>
        <v>331474.44444444444</v>
      </c>
      <c r="C5" s="76" t="s">
        <v>89</v>
      </c>
      <c r="D5" s="39">
        <f>D3+D4</f>
        <v>471007.77777777781</v>
      </c>
    </row>
    <row r="6" spans="1:5" x14ac:dyDescent="0.2">
      <c r="A6" s="76" t="s">
        <v>88</v>
      </c>
      <c r="B6" s="102">
        <f>166000+192000</f>
        <v>358000</v>
      </c>
      <c r="C6" s="76" t="s">
        <v>88</v>
      </c>
      <c r="D6" s="35">
        <f>166000+192000</f>
        <v>358000</v>
      </c>
    </row>
    <row r="7" spans="1:5" x14ac:dyDescent="0.2">
      <c r="A7" s="97" t="s">
        <v>98</v>
      </c>
      <c r="B7" s="103" t="s">
        <v>138</v>
      </c>
      <c r="C7" s="97" t="s">
        <v>98</v>
      </c>
      <c r="D7" s="96" t="s">
        <v>141</v>
      </c>
    </row>
    <row r="8" spans="1:5" ht="13.5" thickBot="1" x14ac:dyDescent="0.25">
      <c r="A8" s="38" t="s">
        <v>73</v>
      </c>
      <c r="B8" s="104">
        <f>B6-B5</f>
        <v>26525.555555555562</v>
      </c>
      <c r="C8" s="67" t="s">
        <v>73</v>
      </c>
      <c r="D8" s="240">
        <v>0</v>
      </c>
      <c r="E8" s="106">
        <f>D6-D5</f>
        <v>-113007.77777777781</v>
      </c>
    </row>
    <row r="9" spans="1:5" ht="13.5" thickBot="1" x14ac:dyDescent="0.25">
      <c r="C9" s="114" t="s">
        <v>91</v>
      </c>
      <c r="D9" s="59" t="s">
        <v>138</v>
      </c>
    </row>
    <row r="14" spans="1:5" ht="13.5" thickBot="1" x14ac:dyDescent="0.25">
      <c r="A14">
        <v>2010</v>
      </c>
    </row>
    <row r="15" spans="1:5" ht="12.75" customHeight="1" x14ac:dyDescent="0.2">
      <c r="A15" s="21" t="s">
        <v>101</v>
      </c>
      <c r="B15" s="22" t="s">
        <v>2</v>
      </c>
      <c r="C15" s="23" t="s">
        <v>3</v>
      </c>
    </row>
    <row r="16" spans="1:5" x14ac:dyDescent="0.2">
      <c r="A16" s="11" t="s">
        <v>0</v>
      </c>
      <c r="B16" s="42">
        <v>2800000</v>
      </c>
      <c r="C16" s="25">
        <f>B16/B16</f>
        <v>1</v>
      </c>
    </row>
    <row r="17" spans="1:3" x14ac:dyDescent="0.2">
      <c r="A17" s="11" t="s">
        <v>11</v>
      </c>
      <c r="B17" s="20"/>
      <c r="C17" s="25"/>
    </row>
    <row r="18" spans="1:3" x14ac:dyDescent="0.2">
      <c r="A18" s="129" t="s">
        <v>29</v>
      </c>
      <c r="B18" s="145">
        <f>SUM(B19:B21)</f>
        <v>1400000</v>
      </c>
      <c r="C18" s="83">
        <f>B18/B16</f>
        <v>0.5</v>
      </c>
    </row>
    <row r="19" spans="1:3" x14ac:dyDescent="0.2">
      <c r="A19" s="18" t="s">
        <v>1</v>
      </c>
      <c r="B19" s="144">
        <f>B16*C19</f>
        <v>979999.99999999988</v>
      </c>
      <c r="C19" s="83">
        <v>0.35</v>
      </c>
    </row>
    <row r="20" spans="1:3" ht="13.5" thickBot="1" x14ac:dyDescent="0.25">
      <c r="A20" s="18" t="s">
        <v>4</v>
      </c>
      <c r="B20" s="144">
        <f>B16*C20</f>
        <v>140000</v>
      </c>
      <c r="C20" s="87">
        <v>0.05</v>
      </c>
    </row>
    <row r="21" spans="1:3" x14ac:dyDescent="0.2">
      <c r="A21" s="18" t="s">
        <v>5</v>
      </c>
      <c r="B21" s="144">
        <f>B16*C21</f>
        <v>280000</v>
      </c>
      <c r="C21" s="25">
        <v>0.1</v>
      </c>
    </row>
    <row r="22" spans="1:3" x14ac:dyDescent="0.2">
      <c r="A22" s="11" t="s">
        <v>123</v>
      </c>
      <c r="B22" s="146">
        <f>B16-B18</f>
        <v>1400000</v>
      </c>
      <c r="C22" s="83">
        <v>0.5</v>
      </c>
    </row>
    <row r="23" spans="1:3" x14ac:dyDescent="0.2">
      <c r="A23" s="11"/>
      <c r="B23" s="146"/>
      <c r="C23" s="83">
        <f>B23/B16</f>
        <v>0</v>
      </c>
    </row>
    <row r="24" spans="1:3" ht="13.5" thickBot="1" x14ac:dyDescent="0.25">
      <c r="A24" s="129" t="s">
        <v>30</v>
      </c>
      <c r="B24" s="145">
        <f>SUM(B25:B28)</f>
        <v>971000</v>
      </c>
      <c r="C24" s="87">
        <f>B24/B16</f>
        <v>0.34678571428571431</v>
      </c>
    </row>
    <row r="25" spans="1:3" x14ac:dyDescent="0.2">
      <c r="A25" s="18" t="s">
        <v>6</v>
      </c>
      <c r="B25" s="144">
        <v>490000</v>
      </c>
      <c r="C25" s="25">
        <f>B25/B16</f>
        <v>0.17499999999999999</v>
      </c>
    </row>
    <row r="26" spans="1:3" x14ac:dyDescent="0.2">
      <c r="A26" s="18" t="s">
        <v>7</v>
      </c>
      <c r="B26" s="144">
        <v>245000</v>
      </c>
      <c r="C26" s="83">
        <f>B26/B16</f>
        <v>8.7499999999999994E-2</v>
      </c>
    </row>
    <row r="27" spans="1:3" x14ac:dyDescent="0.2">
      <c r="A27" s="18" t="s">
        <v>8</v>
      </c>
      <c r="B27" s="42">
        <f>192000+20000</f>
        <v>212000</v>
      </c>
      <c r="C27" s="83">
        <f>B27/B16</f>
        <v>7.571428571428572E-2</v>
      </c>
    </row>
    <row r="28" spans="1:3" ht="13.5" thickBot="1" x14ac:dyDescent="0.25">
      <c r="A28" s="18" t="s">
        <v>9</v>
      </c>
      <c r="B28" s="42">
        <v>24000</v>
      </c>
      <c r="C28" s="87">
        <f>B28/B16</f>
        <v>8.5714285714285719E-3</v>
      </c>
    </row>
    <row r="29" spans="1:3" x14ac:dyDescent="0.2">
      <c r="A29" s="11" t="s">
        <v>10</v>
      </c>
      <c r="B29" s="20">
        <f>B18+B24</f>
        <v>2371000</v>
      </c>
      <c r="C29" s="25">
        <f>B29/B16</f>
        <v>0.84678571428571425</v>
      </c>
    </row>
    <row r="30" spans="1:3" x14ac:dyDescent="0.2">
      <c r="A30" s="81" t="s">
        <v>31</v>
      </c>
      <c r="B30" s="82">
        <f>B16-B29</f>
        <v>429000</v>
      </c>
      <c r="C30" s="83">
        <f>B30/B16</f>
        <v>0.15321428571428572</v>
      </c>
    </row>
    <row r="31" spans="1:3" x14ac:dyDescent="0.2">
      <c r="A31" s="84" t="s">
        <v>46</v>
      </c>
      <c r="B31" s="82">
        <f>(1/3)*B30</f>
        <v>143000</v>
      </c>
      <c r="C31" s="83">
        <f>B31/B16</f>
        <v>5.1071428571428573E-2</v>
      </c>
    </row>
    <row r="32" spans="1:3" ht="13.5" thickBot="1" x14ac:dyDescent="0.25">
      <c r="A32" s="85" t="s">
        <v>32</v>
      </c>
      <c r="B32" s="86">
        <f>B30-B31</f>
        <v>286000</v>
      </c>
      <c r="C32" s="87">
        <f>B32/B16</f>
        <v>0.10214285714285715</v>
      </c>
    </row>
    <row r="33" spans="1:3" ht="13.5" thickBot="1" x14ac:dyDescent="0.25">
      <c r="A33" s="3"/>
      <c r="B33" s="3"/>
      <c r="C33" s="3"/>
    </row>
    <row r="34" spans="1:3" x14ac:dyDescent="0.2">
      <c r="A34" s="27"/>
      <c r="B34" s="22" t="s">
        <v>15</v>
      </c>
      <c r="C34" s="23" t="s">
        <v>33</v>
      </c>
    </row>
    <row r="35" spans="1:3" x14ac:dyDescent="0.2">
      <c r="A35" s="18"/>
      <c r="B35" s="17"/>
      <c r="C35" s="28"/>
    </row>
    <row r="36" spans="1:3" x14ac:dyDescent="0.2">
      <c r="A36" s="18" t="s">
        <v>12</v>
      </c>
      <c r="B36" s="157">
        <f>(C36/360)*B19</f>
        <v>81666.666666666657</v>
      </c>
      <c r="C36" s="40">
        <v>30</v>
      </c>
    </row>
    <row r="37" spans="1:3" ht="51" x14ac:dyDescent="0.2">
      <c r="A37" s="18" t="s">
        <v>14</v>
      </c>
      <c r="B37" s="19" t="s">
        <v>129</v>
      </c>
      <c r="C37" s="40"/>
    </row>
    <row r="38" spans="1:3" x14ac:dyDescent="0.2">
      <c r="A38" s="43" t="s">
        <v>48</v>
      </c>
      <c r="B38" s="156">
        <f>(C38/360)*B16*(0.6)</f>
        <v>93333.333333333314</v>
      </c>
      <c r="C38" s="130">
        <v>20</v>
      </c>
    </row>
    <row r="39" spans="1:3" ht="25.5" x14ac:dyDescent="0.2">
      <c r="A39" s="30" t="s">
        <v>38</v>
      </c>
      <c r="B39" s="32" t="s">
        <v>39</v>
      </c>
      <c r="C39" s="133"/>
    </row>
    <row r="40" spans="1:3" x14ac:dyDescent="0.2">
      <c r="A40" s="18" t="s">
        <v>21</v>
      </c>
      <c r="B40" s="156">
        <f>(C40/360)*B16*(0.8)</f>
        <v>62222.222222222219</v>
      </c>
      <c r="C40" s="40">
        <v>10</v>
      </c>
    </row>
    <row r="41" spans="1:3" x14ac:dyDescent="0.2">
      <c r="A41" s="31" t="s">
        <v>34</v>
      </c>
      <c r="B41" s="136" t="s">
        <v>35</v>
      </c>
      <c r="C41" s="137"/>
    </row>
    <row r="42" spans="1:3" x14ac:dyDescent="0.2">
      <c r="A42" s="18" t="s">
        <v>13</v>
      </c>
      <c r="B42" s="156">
        <f>(C42/360)*B16</f>
        <v>233333.33333333331</v>
      </c>
      <c r="C42" s="40">
        <v>30</v>
      </c>
    </row>
    <row r="43" spans="1:3" x14ac:dyDescent="0.2">
      <c r="A43" s="18" t="s">
        <v>16</v>
      </c>
      <c r="B43" s="156">
        <f>(C43/360)*B19</f>
        <v>163333.33333333331</v>
      </c>
      <c r="C43" s="40">
        <v>60</v>
      </c>
    </row>
    <row r="44" spans="1:3" x14ac:dyDescent="0.2">
      <c r="A44" s="18" t="s">
        <v>17</v>
      </c>
      <c r="B44" s="156">
        <f>(C44/360)*(B20+B21)</f>
        <v>52500</v>
      </c>
      <c r="C44" s="40">
        <v>45</v>
      </c>
    </row>
    <row r="45" spans="1:3" x14ac:dyDescent="0.2">
      <c r="A45" s="18" t="s">
        <v>18</v>
      </c>
      <c r="B45" s="26">
        <v>0.19600000000000001</v>
      </c>
      <c r="C45" s="24"/>
    </row>
    <row r="46" spans="1:3" ht="25.5" x14ac:dyDescent="0.2">
      <c r="A46" s="18" t="s">
        <v>19</v>
      </c>
      <c r="B46" s="19" t="s">
        <v>20</v>
      </c>
      <c r="C46" s="24"/>
    </row>
    <row r="47" spans="1:3" ht="51" x14ac:dyDescent="0.2">
      <c r="A47" s="18" t="s">
        <v>7</v>
      </c>
      <c r="B47" s="52" t="s">
        <v>60</v>
      </c>
      <c r="C47" s="24"/>
    </row>
    <row r="48" spans="1:3" ht="51.75" thickBot="1" x14ac:dyDescent="0.25">
      <c r="A48" s="46" t="s">
        <v>9</v>
      </c>
      <c r="B48" s="44" t="s">
        <v>47</v>
      </c>
      <c r="C48" s="29"/>
    </row>
    <row r="49" spans="1:7" ht="13.5" thickBot="1" x14ac:dyDescent="0.25"/>
    <row r="50" spans="1:7" x14ac:dyDescent="0.2">
      <c r="A50" s="214" t="s">
        <v>137</v>
      </c>
      <c r="B50" s="215"/>
      <c r="C50" s="216"/>
    </row>
    <row r="51" spans="1:7" ht="25.5" x14ac:dyDescent="0.2">
      <c r="A51" s="8"/>
      <c r="B51" s="4" t="s">
        <v>25</v>
      </c>
      <c r="C51" s="9" t="s">
        <v>26</v>
      </c>
    </row>
    <row r="52" spans="1:7" x14ac:dyDescent="0.2">
      <c r="A52" s="107" t="s">
        <v>22</v>
      </c>
      <c r="B52" s="6">
        <f>B53+B54+B55</f>
        <v>237222.22222222222</v>
      </c>
      <c r="C52" s="140"/>
    </row>
    <row r="53" spans="1:7" x14ac:dyDescent="0.2">
      <c r="A53" s="108" t="s">
        <v>12</v>
      </c>
      <c r="B53" s="88">
        <f>(30/360)*B19</f>
        <v>81666.666666666657</v>
      </c>
      <c r="C53" s="140"/>
    </row>
    <row r="54" spans="1:7" x14ac:dyDescent="0.2">
      <c r="A54" s="108" t="s">
        <v>36</v>
      </c>
      <c r="B54" s="88">
        <f>(20/360)*0.6*B16</f>
        <v>93333.333333333328</v>
      </c>
      <c r="C54" s="140"/>
    </row>
    <row r="55" spans="1:7" x14ac:dyDescent="0.2">
      <c r="A55" s="108" t="s">
        <v>21</v>
      </c>
      <c r="B55" s="88">
        <f>(10/360)*0.8*B16</f>
        <v>62222.222222222226</v>
      </c>
      <c r="C55" s="140"/>
    </row>
    <row r="56" spans="1:7" x14ac:dyDescent="0.2">
      <c r="A56" s="11" t="s">
        <v>118</v>
      </c>
      <c r="B56" s="6">
        <f>(30/360)*B16*1.196</f>
        <v>279066.66666666663</v>
      </c>
      <c r="C56" s="140"/>
      <c r="E56" s="168" t="s">
        <v>139</v>
      </c>
      <c r="F56" s="169"/>
      <c r="G56" s="170">
        <f>(45/360)*B16*1.196</f>
        <v>418600</v>
      </c>
    </row>
    <row r="57" spans="1:7" x14ac:dyDescent="0.2">
      <c r="A57" s="11" t="s">
        <v>50</v>
      </c>
      <c r="B57" s="5"/>
      <c r="C57" s="164">
        <f>(60/360)*840000*1.196</f>
        <v>167440</v>
      </c>
      <c r="E57" s="171"/>
      <c r="F57" s="62"/>
      <c r="G57" s="172"/>
    </row>
    <row r="58" spans="1:7" x14ac:dyDescent="0.2">
      <c r="A58" s="12" t="s">
        <v>23</v>
      </c>
      <c r="B58" s="5"/>
      <c r="C58" s="163">
        <f>(60/360)*B19*1.196</f>
        <v>195346.66666666663</v>
      </c>
      <c r="E58" s="171"/>
      <c r="F58" s="62"/>
      <c r="G58" s="172"/>
    </row>
    <row r="59" spans="1:7" x14ac:dyDescent="0.2">
      <c r="A59" s="12" t="s">
        <v>24</v>
      </c>
      <c r="B59" s="5"/>
      <c r="C59" s="163">
        <f>(45/360)*B20*1.196</f>
        <v>20930</v>
      </c>
      <c r="E59" s="171"/>
      <c r="F59" s="62"/>
      <c r="G59" s="172"/>
    </row>
    <row r="60" spans="1:7" x14ac:dyDescent="0.2">
      <c r="A60" s="12" t="s">
        <v>37</v>
      </c>
      <c r="B60" s="5"/>
      <c r="C60" s="163">
        <f>(45/360)*B21*1.196</f>
        <v>41860</v>
      </c>
      <c r="E60" s="171"/>
      <c r="F60" s="62"/>
      <c r="G60" s="172"/>
    </row>
    <row r="61" spans="1:7" x14ac:dyDescent="0.2">
      <c r="A61" s="14"/>
      <c r="B61" s="6"/>
      <c r="C61" s="140"/>
      <c r="E61" s="171"/>
      <c r="F61" s="62"/>
      <c r="G61" s="172"/>
    </row>
    <row r="62" spans="1:7" x14ac:dyDescent="0.2">
      <c r="A62" s="109" t="s">
        <v>61</v>
      </c>
      <c r="B62" s="88">
        <f>(B19+B20+B21)*(35/360)*0.196</f>
        <v>26677.777777777781</v>
      </c>
      <c r="C62" s="140"/>
      <c r="E62" s="171"/>
      <c r="F62" s="62"/>
      <c r="G62" s="172"/>
    </row>
    <row r="63" spans="1:7" x14ac:dyDescent="0.2">
      <c r="A63" s="53" t="s">
        <v>62</v>
      </c>
      <c r="B63" s="139"/>
      <c r="C63" s="89">
        <f>B16*(35/360)*0.196</f>
        <v>53355.555555555562</v>
      </c>
      <c r="E63" s="171"/>
      <c r="F63" s="62"/>
      <c r="G63" s="172"/>
    </row>
    <row r="64" spans="1:7" x14ac:dyDescent="0.2">
      <c r="A64" s="110" t="s">
        <v>27</v>
      </c>
      <c r="B64" s="6">
        <f>SUM(B53:B62)</f>
        <v>542966.66666666663</v>
      </c>
      <c r="C64" s="13">
        <f>SUM(C58:C63)</f>
        <v>311492.22222222219</v>
      </c>
      <c r="E64" s="171"/>
      <c r="F64" s="62"/>
      <c r="G64" s="172"/>
    </row>
    <row r="65" spans="1:7" x14ac:dyDescent="0.2">
      <c r="A65" s="112" t="s">
        <v>126</v>
      </c>
      <c r="B65" s="212">
        <f>B53+B54+B55+B56-C58-C59-C60+B62-C63</f>
        <v>231474.44444444444</v>
      </c>
      <c r="C65" s="213"/>
      <c r="E65" s="173" t="s">
        <v>140</v>
      </c>
      <c r="F65" s="174"/>
      <c r="G65" s="175">
        <f>B53+B54+B55+G56-C58-C59-C60+B62-C63</f>
        <v>371007.77777777781</v>
      </c>
    </row>
    <row r="66" spans="1:7" ht="13.5" thickBot="1" x14ac:dyDescent="0.25">
      <c r="A66" s="113" t="s">
        <v>114</v>
      </c>
      <c r="B66" s="217">
        <f>B65/2800000</f>
        <v>8.2669444444444448E-2</v>
      </c>
      <c r="C66" s="218"/>
    </row>
    <row r="67" spans="1:7" x14ac:dyDescent="0.2">
      <c r="A67" s="143" t="s">
        <v>119</v>
      </c>
      <c r="B67" s="223">
        <f>B65*360/2800000</f>
        <v>29.760999999999999</v>
      </c>
      <c r="C67" s="224"/>
    </row>
    <row r="68" spans="1:7" x14ac:dyDescent="0.2">
      <c r="A68" s="167" t="s">
        <v>116</v>
      </c>
      <c r="B68" s="165"/>
      <c r="C68" s="166"/>
    </row>
  </sheetData>
  <mergeCells count="6">
    <mergeCell ref="A50:C50"/>
    <mergeCell ref="B65:C65"/>
    <mergeCell ref="B66:C66"/>
    <mergeCell ref="B67:C67"/>
    <mergeCell ref="A1:B1"/>
    <mergeCell ref="C1:D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16" sqref="E16"/>
    </sheetView>
  </sheetViews>
  <sheetFormatPr baseColWidth="10" defaultRowHeight="12.75" x14ac:dyDescent="0.2"/>
  <cols>
    <col min="1" max="1" width="40.85546875" bestFit="1" customWidth="1"/>
    <col min="2" max="3" width="12.42578125" bestFit="1" customWidth="1"/>
    <col min="4" max="4" width="14" customWidth="1"/>
  </cols>
  <sheetData>
    <row r="1" spans="1:7" ht="57" customHeight="1" x14ac:dyDescent="0.35">
      <c r="A1" s="73"/>
      <c r="B1" s="74" t="s">
        <v>86</v>
      </c>
      <c r="C1" s="74" t="s">
        <v>87</v>
      </c>
      <c r="D1" s="75" t="s">
        <v>80</v>
      </c>
    </row>
    <row r="2" spans="1:7" ht="23.25" x14ac:dyDescent="0.35">
      <c r="A2" s="118" t="s">
        <v>105</v>
      </c>
      <c r="B2" s="116"/>
      <c r="C2" s="116"/>
      <c r="D2" s="117"/>
    </row>
    <row r="3" spans="1:7" x14ac:dyDescent="0.2">
      <c r="A3" s="76" t="s">
        <v>79</v>
      </c>
      <c r="B3" s="72">
        <v>490000</v>
      </c>
      <c r="C3" s="78">
        <v>516525.56</v>
      </c>
      <c r="D3" s="77">
        <f>C3-B3</f>
        <v>26525.559999999998</v>
      </c>
    </row>
    <row r="4" spans="1:7" x14ac:dyDescent="0.2">
      <c r="A4" s="76" t="s">
        <v>7</v>
      </c>
      <c r="B4" s="72">
        <f>B3/2</f>
        <v>245000</v>
      </c>
      <c r="C4" s="72">
        <f>C3/2</f>
        <v>258262.78</v>
      </c>
      <c r="D4" s="77">
        <f t="shared" ref="D4:D14" si="0">C4-B4</f>
        <v>13262.779999999999</v>
      </c>
    </row>
    <row r="5" spans="1:7" x14ac:dyDescent="0.2">
      <c r="A5" s="76" t="s">
        <v>81</v>
      </c>
      <c r="B5" s="72">
        <f>2400000-24000-192000-1200000-B4-B3</f>
        <v>249000</v>
      </c>
      <c r="C5" s="72">
        <f>2400000-24000-192000-1200000-C4-C3</f>
        <v>209211.65999999997</v>
      </c>
      <c r="D5" s="77">
        <f t="shared" si="0"/>
        <v>-39788.340000000026</v>
      </c>
    </row>
    <row r="6" spans="1:7" x14ac:dyDescent="0.2">
      <c r="A6" s="76" t="s">
        <v>82</v>
      </c>
      <c r="B6" s="72">
        <f>B5/3</f>
        <v>83000</v>
      </c>
      <c r="C6" s="72">
        <f>C5/3</f>
        <v>69737.219999999987</v>
      </c>
      <c r="D6" s="77">
        <f t="shared" si="0"/>
        <v>-13262.780000000013</v>
      </c>
    </row>
    <row r="7" spans="1:7" x14ac:dyDescent="0.2">
      <c r="A7" s="115" t="s">
        <v>103</v>
      </c>
      <c r="B7" s="119">
        <f>B5-B6</f>
        <v>166000</v>
      </c>
      <c r="C7" s="119">
        <f>C5-C6</f>
        <v>139474.44</v>
      </c>
      <c r="D7" s="77">
        <f t="shared" si="0"/>
        <v>-26525.559999999998</v>
      </c>
    </row>
    <row r="8" spans="1:7" x14ac:dyDescent="0.2">
      <c r="A8" s="76" t="s">
        <v>121</v>
      </c>
      <c r="B8" s="229">
        <v>231474.44</v>
      </c>
      <c r="C8" s="230"/>
      <c r="D8" s="77"/>
    </row>
    <row r="9" spans="1:7" x14ac:dyDescent="0.2">
      <c r="A9" s="76" t="s">
        <v>106</v>
      </c>
      <c r="B9" s="231">
        <v>100000</v>
      </c>
      <c r="C9" s="232"/>
      <c r="D9" s="77"/>
    </row>
    <row r="10" spans="1:7" x14ac:dyDescent="0.2">
      <c r="A10" s="115" t="s">
        <v>84</v>
      </c>
      <c r="B10" s="229">
        <f>B8+B9</f>
        <v>331474.44</v>
      </c>
      <c r="C10" s="230"/>
      <c r="D10" s="77"/>
    </row>
    <row r="11" spans="1:7" x14ac:dyDescent="0.2">
      <c r="A11" s="76"/>
      <c r="B11" s="72"/>
      <c r="C11" s="72"/>
      <c r="D11" s="77"/>
    </row>
    <row r="12" spans="1:7" x14ac:dyDescent="0.2">
      <c r="A12" s="76" t="s">
        <v>104</v>
      </c>
      <c r="B12" s="72">
        <v>192000</v>
      </c>
      <c r="C12" s="72">
        <v>192000</v>
      </c>
      <c r="D12" s="77"/>
      <c r="G12" s="33"/>
    </row>
    <row r="13" spans="1:7" x14ac:dyDescent="0.2">
      <c r="A13" s="115" t="s">
        <v>102</v>
      </c>
      <c r="B13" s="119">
        <f>B7+B12</f>
        <v>358000</v>
      </c>
      <c r="C13" s="119">
        <f>C7+C12</f>
        <v>331474.44</v>
      </c>
      <c r="D13" s="77">
        <f t="shared" si="0"/>
        <v>-26525.559999999998</v>
      </c>
    </row>
    <row r="14" spans="1:7" ht="13.5" thickBot="1" x14ac:dyDescent="0.25">
      <c r="A14" s="120" t="s">
        <v>85</v>
      </c>
      <c r="B14" s="121">
        <f>B13-B10</f>
        <v>26525.559999999998</v>
      </c>
      <c r="C14" s="176">
        <f>C13-B10</f>
        <v>0</v>
      </c>
      <c r="D14" s="77">
        <f t="shared" si="0"/>
        <v>-26525.559999999998</v>
      </c>
    </row>
    <row r="15" spans="1:7" x14ac:dyDescent="0.2">
      <c r="B15" s="71"/>
      <c r="C15" s="71"/>
      <c r="D15" s="71"/>
    </row>
    <row r="16" spans="1:7" x14ac:dyDescent="0.2">
      <c r="B16" s="71"/>
      <c r="C16" s="71"/>
      <c r="D16" s="71"/>
    </row>
  </sheetData>
  <mergeCells count="3">
    <mergeCell ref="B8:C8"/>
    <mergeCell ref="B9:C9"/>
    <mergeCell ref="B10:C10"/>
  </mergeCells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25" workbookViewId="0">
      <selection activeCell="H34" sqref="H34"/>
    </sheetView>
  </sheetViews>
  <sheetFormatPr baseColWidth="10" defaultRowHeight="12.75" x14ac:dyDescent="0.2"/>
  <cols>
    <col min="1" max="1" width="39.7109375" customWidth="1"/>
    <col min="2" max="2" width="11.7109375" bestFit="1" customWidth="1"/>
    <col min="3" max="3" width="11.28515625" bestFit="1" customWidth="1"/>
    <col min="5" max="5" width="34.42578125" customWidth="1"/>
    <col min="6" max="6" width="22.7109375" customWidth="1"/>
    <col min="7" max="7" width="22.28515625" customWidth="1"/>
    <col min="8" max="8" width="11.7109375" bestFit="1" customWidth="1"/>
    <col min="9" max="9" width="32.42578125" bestFit="1" customWidth="1"/>
  </cols>
  <sheetData>
    <row r="1" spans="1:11" ht="36" customHeight="1" x14ac:dyDescent="0.2">
      <c r="A1" s="21" t="s">
        <v>101</v>
      </c>
      <c r="B1" s="22" t="s">
        <v>2</v>
      </c>
      <c r="C1" s="23" t="s">
        <v>3</v>
      </c>
      <c r="E1" s="27"/>
      <c r="F1" s="22" t="s">
        <v>15</v>
      </c>
      <c r="G1" s="23" t="s">
        <v>33</v>
      </c>
      <c r="I1" s="214" t="s">
        <v>148</v>
      </c>
      <c r="J1" s="215"/>
      <c r="K1" s="216"/>
    </row>
    <row r="2" spans="1:11" ht="25.5" x14ac:dyDescent="0.2">
      <c r="A2" s="11" t="s">
        <v>0</v>
      </c>
      <c r="B2" s="42">
        <v>2400000</v>
      </c>
      <c r="C2" s="25">
        <f>B2/B2</f>
        <v>1</v>
      </c>
      <c r="E2" s="18"/>
      <c r="F2" s="17"/>
      <c r="G2" s="28"/>
      <c r="I2" s="8"/>
      <c r="J2" s="4" t="s">
        <v>25</v>
      </c>
      <c r="K2" s="9" t="s">
        <v>26</v>
      </c>
    </row>
    <row r="3" spans="1:11" x14ac:dyDescent="0.2">
      <c r="A3" s="11" t="s">
        <v>11</v>
      </c>
      <c r="B3" s="20"/>
      <c r="C3" s="25"/>
      <c r="E3" s="18" t="s">
        <v>12</v>
      </c>
      <c r="F3" s="196">
        <f>(G3/360)*B5</f>
        <v>66666.666666666657</v>
      </c>
      <c r="G3" s="40">
        <v>30</v>
      </c>
      <c r="I3" s="107" t="s">
        <v>22</v>
      </c>
      <c r="J3" s="5"/>
      <c r="K3" s="10"/>
    </row>
    <row r="4" spans="1:11" ht="25.5" x14ac:dyDescent="0.2">
      <c r="A4" s="129" t="s">
        <v>29</v>
      </c>
      <c r="B4" s="145">
        <f>SUM(B5:B7)</f>
        <v>1160000</v>
      </c>
      <c r="C4" s="83">
        <f>B4/B2</f>
        <v>0.48333333333333334</v>
      </c>
      <c r="E4" s="18" t="s">
        <v>14</v>
      </c>
      <c r="F4" s="197" t="s">
        <v>129</v>
      </c>
      <c r="G4" s="40"/>
      <c r="I4" s="108" t="s">
        <v>12</v>
      </c>
      <c r="J4" s="88">
        <f>(30/360)*800000</f>
        <v>66666.666666666657</v>
      </c>
      <c r="K4" s="140"/>
    </row>
    <row r="5" spans="1:11" x14ac:dyDescent="0.2">
      <c r="A5" s="18" t="s">
        <v>1</v>
      </c>
      <c r="B5" s="178">
        <v>800000</v>
      </c>
      <c r="C5" s="83">
        <f>B5/B2</f>
        <v>0.33333333333333331</v>
      </c>
      <c r="D5">
        <v>840000</v>
      </c>
      <c r="E5" s="43" t="s">
        <v>48</v>
      </c>
      <c r="F5" s="198">
        <f>(G5/360)*B2*(0.6)</f>
        <v>79999.999999999985</v>
      </c>
      <c r="G5" s="130">
        <v>20</v>
      </c>
      <c r="I5" s="108" t="s">
        <v>36</v>
      </c>
      <c r="J5" s="164">
        <f>(20/360)*0.6*2400000</f>
        <v>80000</v>
      </c>
      <c r="K5" s="140"/>
    </row>
    <row r="6" spans="1:11" ht="13.5" thickBot="1" x14ac:dyDescent="0.25">
      <c r="A6" s="18" t="s">
        <v>4</v>
      </c>
      <c r="B6" s="144">
        <v>120000</v>
      </c>
      <c r="C6" s="87">
        <f>B6/B2</f>
        <v>0.05</v>
      </c>
      <c r="D6" s="177">
        <f>B5/D5</f>
        <v>0.95238095238095233</v>
      </c>
      <c r="E6" s="30" t="s">
        <v>38</v>
      </c>
      <c r="F6" s="32" t="s">
        <v>39</v>
      </c>
      <c r="G6" s="133"/>
      <c r="I6" s="108" t="s">
        <v>21</v>
      </c>
      <c r="J6" s="164">
        <f>(10/360)*0.8*2400000</f>
        <v>53333.333333333336</v>
      </c>
      <c r="K6" s="140"/>
    </row>
    <row r="7" spans="1:11" x14ac:dyDescent="0.2">
      <c r="A7" s="18" t="s">
        <v>5</v>
      </c>
      <c r="B7" s="144">
        <v>240000</v>
      </c>
      <c r="C7" s="25">
        <f>B7/B2</f>
        <v>0.1</v>
      </c>
      <c r="D7" s="195">
        <f>1-D6</f>
        <v>4.7619047619047672E-2</v>
      </c>
      <c r="E7" s="18" t="s">
        <v>21</v>
      </c>
      <c r="F7" s="198">
        <f>(G7/360)*B2*(0.8)</f>
        <v>53333.333333333328</v>
      </c>
      <c r="G7" s="40">
        <v>10</v>
      </c>
      <c r="I7" s="11" t="s">
        <v>118</v>
      </c>
      <c r="J7" s="6">
        <f>(30/360)*2400000*1.196</f>
        <v>239200</v>
      </c>
      <c r="K7" s="140"/>
    </row>
    <row r="8" spans="1:11" x14ac:dyDescent="0.2">
      <c r="A8" s="11" t="s">
        <v>123</v>
      </c>
      <c r="B8" s="146">
        <f>B2-B4</f>
        <v>1240000</v>
      </c>
      <c r="C8" s="83">
        <f>B8/B2</f>
        <v>0.51666666666666672</v>
      </c>
      <c r="E8" s="31" t="s">
        <v>34</v>
      </c>
      <c r="F8" s="199" t="s">
        <v>35</v>
      </c>
      <c r="G8" s="137"/>
      <c r="I8" s="11" t="s">
        <v>50</v>
      </c>
      <c r="J8" s="6"/>
      <c r="K8" s="164">
        <f>(60/360)*840000*1.196</f>
        <v>167440</v>
      </c>
    </row>
    <row r="9" spans="1:11" ht="25.5" x14ac:dyDescent="0.2">
      <c r="A9" s="11"/>
      <c r="B9" s="146"/>
      <c r="C9" s="83">
        <f>B9/B2</f>
        <v>0</v>
      </c>
      <c r="E9" s="18" t="s">
        <v>13</v>
      </c>
      <c r="F9" s="198">
        <f>(G9/360)*B2</f>
        <v>200000</v>
      </c>
      <c r="G9" s="40">
        <v>30</v>
      </c>
      <c r="I9" s="12" t="s">
        <v>122</v>
      </c>
      <c r="J9" s="139"/>
      <c r="K9" s="163">
        <f>(90/360)*800000*1.196</f>
        <v>239200</v>
      </c>
    </row>
    <row r="10" spans="1:11" ht="39" thickBot="1" x14ac:dyDescent="0.25">
      <c r="A10" s="129" t="s">
        <v>30</v>
      </c>
      <c r="B10" s="145">
        <f>SUM(B11:B14)</f>
        <v>951000</v>
      </c>
      <c r="C10" s="87">
        <f>B10/B2</f>
        <v>0.39624999999999999</v>
      </c>
      <c r="E10" s="18" t="s">
        <v>16</v>
      </c>
      <c r="F10" s="156">
        <f>(G10/360)*B5</f>
        <v>200000</v>
      </c>
      <c r="G10" s="40">
        <v>90</v>
      </c>
      <c r="I10" s="12" t="s">
        <v>24</v>
      </c>
      <c r="J10" s="139"/>
      <c r="K10" s="185">
        <f>(45/360)*120000*1.196</f>
        <v>17940</v>
      </c>
    </row>
    <row r="11" spans="1:11" ht="25.5" x14ac:dyDescent="0.2">
      <c r="A11" s="18" t="s">
        <v>6</v>
      </c>
      <c r="B11" s="144">
        <v>490000</v>
      </c>
      <c r="C11" s="25">
        <f>B11/B2</f>
        <v>0.20416666666666666</v>
      </c>
      <c r="E11" s="18" t="s">
        <v>17</v>
      </c>
      <c r="F11" s="198">
        <f>(G11/360)*(B6+B7)</f>
        <v>45000</v>
      </c>
      <c r="G11" s="40">
        <v>45</v>
      </c>
      <c r="I11" s="12" t="s">
        <v>37</v>
      </c>
      <c r="J11" s="139"/>
      <c r="K11" s="185">
        <f>(45/360)*240000*1.196</f>
        <v>35880</v>
      </c>
    </row>
    <row r="12" spans="1:11" x14ac:dyDescent="0.2">
      <c r="A12" s="18" t="s">
        <v>7</v>
      </c>
      <c r="B12" s="144">
        <v>245000</v>
      </c>
      <c r="C12" s="83">
        <f>B12/B2</f>
        <v>0.10208333333333333</v>
      </c>
      <c r="E12" s="18" t="s">
        <v>18</v>
      </c>
      <c r="F12" s="26">
        <v>0.19600000000000001</v>
      </c>
      <c r="G12" s="24"/>
      <c r="I12" s="14"/>
      <c r="J12" s="6"/>
      <c r="K12" s="140"/>
    </row>
    <row r="13" spans="1:11" x14ac:dyDescent="0.2">
      <c r="A13" s="18" t="s">
        <v>8</v>
      </c>
      <c r="B13" s="42">
        <v>192000</v>
      </c>
      <c r="C13" s="83">
        <f>B13/B2</f>
        <v>0.08</v>
      </c>
      <c r="E13" s="18" t="s">
        <v>19</v>
      </c>
      <c r="F13" s="19" t="s">
        <v>20</v>
      </c>
      <c r="G13" s="24"/>
      <c r="I13" s="109" t="s">
        <v>61</v>
      </c>
      <c r="J13" s="88">
        <f>(800000+120000+240000)*(35/360)*0.196</f>
        <v>22104.444444444445</v>
      </c>
      <c r="K13" s="140"/>
    </row>
    <row r="14" spans="1:11" ht="26.25" thickBot="1" x14ac:dyDescent="0.25">
      <c r="A14" s="18" t="s">
        <v>9</v>
      </c>
      <c r="B14" s="42">
        <v>24000</v>
      </c>
      <c r="C14" s="87">
        <f>B14/B2</f>
        <v>0.01</v>
      </c>
      <c r="E14" s="18" t="s">
        <v>7</v>
      </c>
      <c r="F14" s="52" t="s">
        <v>60</v>
      </c>
      <c r="G14" s="24"/>
      <c r="I14" s="53" t="s">
        <v>62</v>
      </c>
      <c r="J14" s="139"/>
      <c r="K14" s="13">
        <f>2400000*(35/360)*0.196</f>
        <v>45733.333333333336</v>
      </c>
    </row>
    <row r="15" spans="1:11" ht="26.25" thickBot="1" x14ac:dyDescent="0.25">
      <c r="A15" s="11" t="s">
        <v>10</v>
      </c>
      <c r="B15" s="20">
        <f>B4+B10</f>
        <v>2111000</v>
      </c>
      <c r="C15" s="25">
        <f>B15/B2</f>
        <v>0.87958333333333338</v>
      </c>
      <c r="E15" s="46" t="s">
        <v>9</v>
      </c>
      <c r="F15" s="44" t="s">
        <v>47</v>
      </c>
      <c r="G15" s="29"/>
      <c r="I15" s="110" t="s">
        <v>27</v>
      </c>
      <c r="J15" s="6">
        <f>J4+J5+J6+J7+J13</f>
        <v>461304.44444444444</v>
      </c>
      <c r="K15" s="13">
        <f>K9+K10+K11+K14</f>
        <v>338753.33333333331</v>
      </c>
    </row>
    <row r="16" spans="1:11" x14ac:dyDescent="0.2">
      <c r="A16" s="31" t="s">
        <v>31</v>
      </c>
      <c r="B16" s="82">
        <f>B2-B15</f>
        <v>289000</v>
      </c>
      <c r="C16" s="180">
        <f>B16/B2</f>
        <v>0.12041666666666667</v>
      </c>
      <c r="D16">
        <v>289000</v>
      </c>
      <c r="I16" s="112" t="s">
        <v>49</v>
      </c>
      <c r="J16" s="212">
        <f>J4+J5+J6+J7+J13-K9-K10-K11-K14</f>
        <v>122551.11111111109</v>
      </c>
      <c r="K16" s="213"/>
    </row>
    <row r="17" spans="1:11" ht="13.5" thickBot="1" x14ac:dyDescent="0.25">
      <c r="A17" s="181" t="s">
        <v>46</v>
      </c>
      <c r="B17" s="179">
        <f>(1/3)*B16</f>
        <v>96333.333333333328</v>
      </c>
      <c r="C17" s="180">
        <f>B17/B2</f>
        <v>4.0138888888888884E-2</v>
      </c>
      <c r="I17" s="113" t="s">
        <v>28</v>
      </c>
      <c r="J17" s="217">
        <f>J16/2400000</f>
        <v>5.1062962962962956E-2</v>
      </c>
      <c r="K17" s="218"/>
    </row>
    <row r="18" spans="1:11" ht="13.5" thickBot="1" x14ac:dyDescent="0.25">
      <c r="A18" s="182" t="s">
        <v>32</v>
      </c>
      <c r="B18" s="183">
        <f>B16-B17</f>
        <v>192666.66666666669</v>
      </c>
      <c r="C18" s="184">
        <f>B18/B2</f>
        <v>8.0277777777777781E-2</v>
      </c>
      <c r="I18" s="45"/>
      <c r="J18" s="7"/>
      <c r="K18" s="10"/>
    </row>
    <row r="19" spans="1:11" x14ac:dyDescent="0.2">
      <c r="I19" s="111"/>
      <c r="J19" s="5"/>
      <c r="K19" s="15"/>
    </row>
    <row r="20" spans="1:11" ht="13.5" thickBot="1" x14ac:dyDescent="0.25"/>
    <row r="21" spans="1:11" ht="13.5" thickBot="1" x14ac:dyDescent="0.25">
      <c r="A21" s="214" t="s">
        <v>147</v>
      </c>
      <c r="B21" s="215"/>
      <c r="C21" s="216"/>
      <c r="E21" s="225" t="s">
        <v>142</v>
      </c>
      <c r="F21" s="226"/>
      <c r="G21" s="227" t="s">
        <v>143</v>
      </c>
      <c r="H21" s="228"/>
    </row>
    <row r="22" spans="1:11" ht="25.5" x14ac:dyDescent="0.2">
      <c r="A22" s="8"/>
      <c r="B22" s="4" t="s">
        <v>25</v>
      </c>
      <c r="C22" s="9" t="s">
        <v>26</v>
      </c>
      <c r="E22" s="51" t="s">
        <v>44</v>
      </c>
      <c r="F22" s="98">
        <v>2800000</v>
      </c>
      <c r="G22" s="65" t="s">
        <v>44</v>
      </c>
      <c r="H22" s="105">
        <v>2800000</v>
      </c>
    </row>
    <row r="23" spans="1:11" x14ac:dyDescent="0.2">
      <c r="A23" s="107" t="s">
        <v>22</v>
      </c>
      <c r="B23" s="5"/>
      <c r="C23" s="10"/>
      <c r="E23" s="76" t="s">
        <v>145</v>
      </c>
      <c r="F23" s="99">
        <f>'Q3) Q4)CAF 2009 pour 2010 '!B3</f>
        <v>231474.44444444444</v>
      </c>
      <c r="G23" s="76" t="s">
        <v>144</v>
      </c>
      <c r="H23" s="36">
        <f>F56</f>
        <v>142976.29629629623</v>
      </c>
    </row>
    <row r="24" spans="1:11" x14ac:dyDescent="0.2">
      <c r="A24" s="108" t="s">
        <v>12</v>
      </c>
      <c r="B24" s="88">
        <f>(30/360)*800000</f>
        <v>66666.666666666657</v>
      </c>
      <c r="C24" s="140"/>
      <c r="E24" s="34" t="s">
        <v>45</v>
      </c>
      <c r="F24" s="100">
        <v>100000</v>
      </c>
      <c r="G24" s="34" t="s">
        <v>45</v>
      </c>
      <c r="H24" s="37">
        <v>100000</v>
      </c>
    </row>
    <row r="25" spans="1:11" x14ac:dyDescent="0.2">
      <c r="A25" s="108" t="s">
        <v>36</v>
      </c>
      <c r="B25" s="164">
        <f>(20/360)*0.6*2400000</f>
        <v>80000</v>
      </c>
      <c r="C25" s="140"/>
      <c r="E25" s="76" t="s">
        <v>89</v>
      </c>
      <c r="F25" s="101">
        <f>F23+F24</f>
        <v>331474.44444444444</v>
      </c>
      <c r="G25" s="76" t="s">
        <v>89</v>
      </c>
      <c r="H25" s="39">
        <f>H23+H24</f>
        <v>242976.29629629623</v>
      </c>
    </row>
    <row r="26" spans="1:11" x14ac:dyDescent="0.2">
      <c r="A26" s="108" t="s">
        <v>21</v>
      </c>
      <c r="B26" s="164">
        <f>(10/360)*0.8*2400000</f>
        <v>53333.333333333336</v>
      </c>
      <c r="C26" s="140"/>
      <c r="E26" s="76" t="s">
        <v>88</v>
      </c>
      <c r="F26" s="102">
        <f>166000+192000</f>
        <v>358000</v>
      </c>
      <c r="G26" s="76" t="s">
        <v>88</v>
      </c>
      <c r="H26" s="35">
        <f>B18+192000</f>
        <v>384666.66666666669</v>
      </c>
    </row>
    <row r="27" spans="1:11" x14ac:dyDescent="0.2">
      <c r="A27" s="11" t="s">
        <v>118</v>
      </c>
      <c r="B27" s="6">
        <f>(30/360)*2400000*1.196</f>
        <v>239200</v>
      </c>
      <c r="C27" s="140"/>
      <c r="E27" s="97" t="s">
        <v>98</v>
      </c>
      <c r="F27" s="103" t="s">
        <v>138</v>
      </c>
      <c r="G27" s="97" t="s">
        <v>98</v>
      </c>
      <c r="H27" s="200" t="s">
        <v>138</v>
      </c>
    </row>
    <row r="28" spans="1:11" ht="13.5" thickBot="1" x14ac:dyDescent="0.25">
      <c r="A28" s="11" t="s">
        <v>50</v>
      </c>
      <c r="B28" s="6"/>
      <c r="C28" s="164">
        <f>(60/360)*840000*1.196</f>
        <v>167440</v>
      </c>
      <c r="E28" s="38" t="s">
        <v>73</v>
      </c>
      <c r="F28" s="104">
        <f>F26-F25</f>
        <v>26525.555555555562</v>
      </c>
      <c r="G28" s="201" t="s">
        <v>73</v>
      </c>
      <c r="H28" s="202">
        <f>H26-H25</f>
        <v>141690.37037037045</v>
      </c>
    </row>
    <row r="29" spans="1:11" ht="25.5" x14ac:dyDescent="0.2">
      <c r="A29" s="12" t="s">
        <v>122</v>
      </c>
      <c r="B29" s="139"/>
      <c r="C29" s="163">
        <f>(60/360)*800000*1.196</f>
        <v>159466.66666666663</v>
      </c>
      <c r="E29" s="204" t="s">
        <v>150</v>
      </c>
      <c r="H29" s="203"/>
    </row>
    <row r="30" spans="1:11" ht="25.5" x14ac:dyDescent="0.2">
      <c r="A30" s="12" t="s">
        <v>24</v>
      </c>
      <c r="B30" s="139"/>
      <c r="C30" s="185">
        <f>(45/360)*120000*1.196</f>
        <v>17940</v>
      </c>
      <c r="E30" s="190"/>
      <c r="F30" s="189"/>
      <c r="G30" s="188"/>
    </row>
    <row r="31" spans="1:11" ht="25.5" x14ac:dyDescent="0.2">
      <c r="A31" s="12" t="s">
        <v>37</v>
      </c>
      <c r="B31" s="139"/>
      <c r="C31" s="185">
        <f>(45/360)*240000*1.196</f>
        <v>35880</v>
      </c>
      <c r="E31" s="190"/>
      <c r="F31" s="189"/>
      <c r="G31" s="188"/>
    </row>
    <row r="32" spans="1:11" x14ac:dyDescent="0.2">
      <c r="A32" s="14"/>
      <c r="B32" s="6"/>
      <c r="C32" s="140"/>
      <c r="E32" s="191"/>
      <c r="F32" s="186"/>
      <c r="G32" s="188"/>
    </row>
    <row r="33" spans="1:7" x14ac:dyDescent="0.2">
      <c r="A33" s="109" t="s">
        <v>61</v>
      </c>
      <c r="B33" s="88">
        <f>(800000+120000+240000)*(35/360)*0.196</f>
        <v>22104.444444444445</v>
      </c>
      <c r="C33" s="140"/>
      <c r="E33" s="192"/>
      <c r="F33" s="186"/>
      <c r="G33" s="188"/>
    </row>
    <row r="34" spans="1:7" x14ac:dyDescent="0.2">
      <c r="A34" s="53" t="s">
        <v>62</v>
      </c>
      <c r="B34" s="139"/>
      <c r="C34" s="13">
        <f>2400000*(35/360)*0.196</f>
        <v>45733.333333333336</v>
      </c>
      <c r="E34" s="193"/>
      <c r="F34" s="188"/>
      <c r="G34" s="186"/>
    </row>
    <row r="35" spans="1:7" x14ac:dyDescent="0.2">
      <c r="A35" s="110" t="s">
        <v>27</v>
      </c>
      <c r="B35" s="6">
        <f>B24+B25+B26+B27+B33</f>
        <v>461304.44444444444</v>
      </c>
      <c r="C35" s="13">
        <f>C29+C30+C31+C34</f>
        <v>259019.99999999997</v>
      </c>
      <c r="E35" s="188"/>
      <c r="F35" s="186"/>
      <c r="G35" s="186"/>
    </row>
    <row r="36" spans="1:7" x14ac:dyDescent="0.2">
      <c r="A36" s="112" t="s">
        <v>49</v>
      </c>
      <c r="B36" s="212">
        <f>B24+B25+B26+B27+B33-C29-C30-C31-C34</f>
        <v>202284.44444444447</v>
      </c>
      <c r="C36" s="213"/>
      <c r="E36" s="187"/>
      <c r="F36" s="233"/>
      <c r="G36" s="233"/>
    </row>
    <row r="37" spans="1:7" ht="13.5" thickBot="1" x14ac:dyDescent="0.25">
      <c r="A37" s="113" t="s">
        <v>28</v>
      </c>
      <c r="B37" s="217">
        <f>B36/2400000</f>
        <v>8.4285185185185199E-2</v>
      </c>
      <c r="C37" s="218"/>
      <c r="E37" s="187"/>
      <c r="F37" s="234"/>
      <c r="G37" s="234"/>
    </row>
    <row r="38" spans="1:7" x14ac:dyDescent="0.2">
      <c r="A38" s="45"/>
      <c r="B38" s="7"/>
      <c r="C38" s="10"/>
      <c r="E38" s="194"/>
      <c r="F38" s="233"/>
      <c r="G38" s="233"/>
    </row>
    <row r="39" spans="1:7" x14ac:dyDescent="0.2">
      <c r="A39" s="111"/>
      <c r="B39" s="5"/>
      <c r="C39" s="15"/>
    </row>
    <row r="40" spans="1:7" ht="13.5" thickBot="1" x14ac:dyDescent="0.25"/>
    <row r="41" spans="1:7" x14ac:dyDescent="0.2">
      <c r="A41" s="21" t="s">
        <v>149</v>
      </c>
      <c r="B41" s="22" t="s">
        <v>2</v>
      </c>
      <c r="C41" s="23" t="s">
        <v>3</v>
      </c>
      <c r="E41" s="214" t="s">
        <v>146</v>
      </c>
      <c r="F41" s="215"/>
      <c r="G41" s="216"/>
    </row>
    <row r="42" spans="1:7" x14ac:dyDescent="0.2">
      <c r="A42" s="11" t="s">
        <v>0</v>
      </c>
      <c r="B42" s="42">
        <v>2800000</v>
      </c>
      <c r="C42" s="25">
        <f>B42/B42</f>
        <v>1</v>
      </c>
      <c r="E42" s="8"/>
      <c r="F42" s="4" t="s">
        <v>25</v>
      </c>
      <c r="G42" s="9" t="s">
        <v>26</v>
      </c>
    </row>
    <row r="43" spans="1:7" x14ac:dyDescent="0.2">
      <c r="A43" s="11" t="s">
        <v>11</v>
      </c>
      <c r="B43" s="20"/>
      <c r="C43" s="25"/>
      <c r="E43" s="107" t="s">
        <v>22</v>
      </c>
      <c r="F43" s="5"/>
      <c r="G43" s="10"/>
    </row>
    <row r="44" spans="1:7" x14ac:dyDescent="0.2">
      <c r="A44" s="129" t="s">
        <v>29</v>
      </c>
      <c r="B44" s="205">
        <f>SUM(B45:B47)</f>
        <v>1353333.3333333333</v>
      </c>
      <c r="C44" s="180">
        <f>B44/B42</f>
        <v>0.48333333333333328</v>
      </c>
      <c r="E44" s="108" t="s">
        <v>12</v>
      </c>
      <c r="F44" s="88">
        <f>(30/360)*B45</f>
        <v>77777.777777777766</v>
      </c>
      <c r="G44" s="140"/>
    </row>
    <row r="45" spans="1:7" x14ac:dyDescent="0.2">
      <c r="A45" s="18" t="s">
        <v>1</v>
      </c>
      <c r="B45" s="144">
        <f>$B$42*C45</f>
        <v>933333.33333333326</v>
      </c>
      <c r="C45" s="180">
        <f>C5</f>
        <v>0.33333333333333331</v>
      </c>
      <c r="E45" s="108" t="s">
        <v>36</v>
      </c>
      <c r="F45" s="164">
        <f>(20/360)*0.6*B42</f>
        <v>93333.333333333328</v>
      </c>
      <c r="G45" s="140"/>
    </row>
    <row r="46" spans="1:7" ht="13.5" thickBot="1" x14ac:dyDescent="0.25">
      <c r="A46" s="18" t="s">
        <v>4</v>
      </c>
      <c r="B46" s="144">
        <f t="shared" ref="B46:B51" si="0">$B$42*C46</f>
        <v>140000</v>
      </c>
      <c r="C46" s="184">
        <v>0.05</v>
      </c>
      <c r="E46" s="108" t="s">
        <v>21</v>
      </c>
      <c r="F46" s="164">
        <f>(10/360)*0.8*B42</f>
        <v>62222.222222222226</v>
      </c>
      <c r="G46" s="140"/>
    </row>
    <row r="47" spans="1:7" x14ac:dyDescent="0.2">
      <c r="A47" s="18" t="s">
        <v>5</v>
      </c>
      <c r="B47" s="144">
        <f t="shared" si="0"/>
        <v>280000</v>
      </c>
      <c r="C47" s="180">
        <v>0.1</v>
      </c>
      <c r="E47" s="11" t="s">
        <v>118</v>
      </c>
      <c r="F47" s="6">
        <f>(30/360)*B42*1.196</f>
        <v>279066.66666666663</v>
      </c>
      <c r="G47" s="140"/>
    </row>
    <row r="48" spans="1:7" x14ac:dyDescent="0.2">
      <c r="A48" s="11" t="s">
        <v>123</v>
      </c>
      <c r="B48" s="144">
        <f t="shared" si="0"/>
        <v>571760</v>
      </c>
      <c r="C48" s="180">
        <v>0.20419999999999999</v>
      </c>
      <c r="E48" s="11" t="s">
        <v>50</v>
      </c>
      <c r="F48" s="6"/>
      <c r="G48" s="164">
        <f>(60/360)*B45*1.196</f>
        <v>186044.44444444441</v>
      </c>
    </row>
    <row r="49" spans="1:7" ht="25.5" x14ac:dyDescent="0.2">
      <c r="A49" s="11"/>
      <c r="B49" s="144"/>
      <c r="C49" s="180"/>
      <c r="E49" s="12" t="s">
        <v>122</v>
      </c>
      <c r="F49" s="139"/>
      <c r="G49" s="163">
        <f>(90/360)*B45*1.196</f>
        <v>279066.66666666663</v>
      </c>
    </row>
    <row r="50" spans="1:7" ht="26.25" thickBot="1" x14ac:dyDescent="0.25">
      <c r="A50" s="129" t="s">
        <v>30</v>
      </c>
      <c r="B50" s="144">
        <f>$B$42*C50</f>
        <v>236040</v>
      </c>
      <c r="C50" s="184">
        <v>8.43E-2</v>
      </c>
      <c r="E50" s="12" t="s">
        <v>24</v>
      </c>
      <c r="F50" s="139"/>
      <c r="G50" s="185">
        <f>(45/360)*B46*1.196</f>
        <v>20930</v>
      </c>
    </row>
    <row r="51" spans="1:7" ht="25.5" x14ac:dyDescent="0.2">
      <c r="A51" s="18" t="s">
        <v>6</v>
      </c>
      <c r="B51" s="144">
        <f t="shared" si="0"/>
        <v>571666.66666666663</v>
      </c>
      <c r="C51" s="180">
        <f>C11</f>
        <v>0.20416666666666666</v>
      </c>
      <c r="E51" s="12" t="s">
        <v>37</v>
      </c>
      <c r="F51" s="139"/>
      <c r="G51" s="185">
        <f>(45/360)*B47*1.196</f>
        <v>41860</v>
      </c>
    </row>
    <row r="52" spans="1:7" x14ac:dyDescent="0.2">
      <c r="A52" s="18" t="s">
        <v>7</v>
      </c>
      <c r="B52" s="144">
        <f>B51/2</f>
        <v>285833.33333333331</v>
      </c>
      <c r="C52" s="180">
        <v>0.1021</v>
      </c>
      <c r="E52" s="14"/>
      <c r="F52" s="6"/>
      <c r="G52" s="140"/>
    </row>
    <row r="53" spans="1:7" x14ac:dyDescent="0.2">
      <c r="A53" s="18" t="s">
        <v>8</v>
      </c>
      <c r="B53" s="144">
        <f>212000</f>
        <v>212000</v>
      </c>
      <c r="C53" s="180">
        <f>C13</f>
        <v>0.08</v>
      </c>
      <c r="E53" s="109" t="s">
        <v>61</v>
      </c>
      <c r="F53" s="88">
        <f>(B45+B46+B47)*(35/360)*0.196</f>
        <v>25788.518518518518</v>
      </c>
      <c r="G53" s="140"/>
    </row>
    <row r="54" spans="1:7" ht="13.5" thickBot="1" x14ac:dyDescent="0.25">
      <c r="A54" s="18" t="s">
        <v>9</v>
      </c>
      <c r="B54" s="144">
        <f>24000</f>
        <v>24000</v>
      </c>
      <c r="C54" s="184">
        <f>B54/B42</f>
        <v>8.5714285714285719E-3</v>
      </c>
      <c r="E54" s="53" t="s">
        <v>62</v>
      </c>
      <c r="F54" s="139"/>
      <c r="G54" s="13">
        <f>B42*(35/360)*0.196</f>
        <v>53355.555555555562</v>
      </c>
    </row>
    <row r="55" spans="1:7" x14ac:dyDescent="0.2">
      <c r="A55" s="11" t="s">
        <v>10</v>
      </c>
      <c r="B55" s="206">
        <f>B44+B51+B52+B53+B54</f>
        <v>2446833.3333333335</v>
      </c>
      <c r="C55" s="180">
        <f>B55/B42</f>
        <v>0.87386904761904771</v>
      </c>
      <c r="E55" s="110" t="s">
        <v>27</v>
      </c>
      <c r="F55" s="6">
        <f>F44+F45+F46+F47+F53</f>
        <v>538188.51851851842</v>
      </c>
      <c r="G55" s="13">
        <f>G49+G50+G51+G54</f>
        <v>395212.22222222219</v>
      </c>
    </row>
    <row r="56" spans="1:7" x14ac:dyDescent="0.2">
      <c r="A56" s="81" t="s">
        <v>31</v>
      </c>
      <c r="B56" s="82">
        <f>B42-B55</f>
        <v>353166.66666666651</v>
      </c>
      <c r="C56" s="180">
        <f>B56/B42</f>
        <v>0.12613095238095232</v>
      </c>
      <c r="E56" s="112" t="s">
        <v>49</v>
      </c>
      <c r="F56" s="212">
        <f>F44+F45+F46+F47+F53-G49-G50-G51-G54</f>
        <v>142976.29629629623</v>
      </c>
      <c r="G56" s="213"/>
    </row>
    <row r="57" spans="1:7" ht="13.5" thickBot="1" x14ac:dyDescent="0.25">
      <c r="A57" s="84" t="s">
        <v>46</v>
      </c>
      <c r="B57" s="82">
        <f>(1/3)*B56</f>
        <v>117722.22222222216</v>
      </c>
      <c r="C57" s="180">
        <f>B57/B42</f>
        <v>4.2043650793650772E-2</v>
      </c>
      <c r="E57" s="113" t="s">
        <v>28</v>
      </c>
      <c r="F57" s="217">
        <f>F56/B42</f>
        <v>5.1062962962962942E-2</v>
      </c>
      <c r="G57" s="218"/>
    </row>
    <row r="58" spans="1:7" ht="13.5" thickBot="1" x14ac:dyDescent="0.25">
      <c r="A58" s="85" t="s">
        <v>32</v>
      </c>
      <c r="B58" s="86">
        <f>B56-B57</f>
        <v>235444.44444444435</v>
      </c>
      <c r="C58" s="184">
        <f>B58/B42</f>
        <v>8.4087301587301558E-2</v>
      </c>
      <c r="E58" s="45"/>
      <c r="F58" s="7"/>
      <c r="G58" s="10"/>
    </row>
    <row r="59" spans="1:7" x14ac:dyDescent="0.2">
      <c r="E59" s="111"/>
      <c r="F59" s="5"/>
      <c r="G59" s="15"/>
    </row>
  </sheetData>
  <mergeCells count="14">
    <mergeCell ref="I1:K1"/>
    <mergeCell ref="J16:K16"/>
    <mergeCell ref="J17:K17"/>
    <mergeCell ref="F36:G36"/>
    <mergeCell ref="F37:G37"/>
    <mergeCell ref="E41:G41"/>
    <mergeCell ref="F56:G56"/>
    <mergeCell ref="F57:G57"/>
    <mergeCell ref="F38:G38"/>
    <mergeCell ref="A21:C21"/>
    <mergeCell ref="B36:C36"/>
    <mergeCell ref="B37:C37"/>
    <mergeCell ref="E21:F21"/>
    <mergeCell ref="G21:H2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G18" sqref="G18"/>
    </sheetView>
  </sheetViews>
  <sheetFormatPr baseColWidth="10" defaultRowHeight="12.75" x14ac:dyDescent="0.2"/>
  <cols>
    <col min="1" max="1" width="44" bestFit="1" customWidth="1"/>
    <col min="2" max="2" width="14.28515625" bestFit="1" customWidth="1"/>
    <col min="4" max="4" width="40.140625" bestFit="1" customWidth="1"/>
    <col min="5" max="5" width="17.42578125" bestFit="1" customWidth="1"/>
  </cols>
  <sheetData>
    <row r="1" spans="1:5" x14ac:dyDescent="0.2">
      <c r="A1" s="235" t="s">
        <v>59</v>
      </c>
      <c r="B1" s="236"/>
      <c r="D1" s="227" t="s">
        <v>63</v>
      </c>
      <c r="E1" s="228"/>
    </row>
    <row r="2" spans="1:5" x14ac:dyDescent="0.2">
      <c r="A2" s="16" t="s">
        <v>51</v>
      </c>
      <c r="B2" s="54">
        <v>2800000</v>
      </c>
      <c r="D2" s="58"/>
      <c r="E2" s="55"/>
    </row>
    <row r="3" spans="1:5" x14ac:dyDescent="0.2">
      <c r="A3" s="16" t="s">
        <v>41</v>
      </c>
      <c r="B3" s="69">
        <f>1400000/B2</f>
        <v>0.5</v>
      </c>
      <c r="D3" s="34" t="s">
        <v>65</v>
      </c>
      <c r="E3" s="60">
        <f>B11</f>
        <v>418000</v>
      </c>
    </row>
    <row r="4" spans="1:5" x14ac:dyDescent="0.2">
      <c r="A4" s="76" t="s">
        <v>107</v>
      </c>
      <c r="B4" s="15">
        <f>B2*B3</f>
        <v>1400000</v>
      </c>
      <c r="D4" s="76" t="s">
        <v>108</v>
      </c>
      <c r="E4" s="61">
        <f>231747.44/B2</f>
        <v>8.2766942857142853E-2</v>
      </c>
    </row>
    <row r="5" spans="1:5" ht="13.5" thickBot="1" x14ac:dyDescent="0.25">
      <c r="A5" s="16"/>
      <c r="B5" s="15"/>
      <c r="D5" s="38" t="s">
        <v>64</v>
      </c>
      <c r="E5" s="59">
        <f>B2*(1+E4)</f>
        <v>3031747.4400000004</v>
      </c>
    </row>
    <row r="6" spans="1:5" x14ac:dyDescent="0.2">
      <c r="A6" s="34" t="s">
        <v>53</v>
      </c>
      <c r="B6" s="15">
        <v>971000</v>
      </c>
      <c r="D6" s="237" t="s">
        <v>130</v>
      </c>
      <c r="E6" s="238"/>
    </row>
    <row r="7" spans="1:5" x14ac:dyDescent="0.2">
      <c r="A7" s="34" t="s">
        <v>54</v>
      </c>
      <c r="B7" s="15">
        <f>B2-B4-B6</f>
        <v>429000</v>
      </c>
      <c r="D7" s="65" t="s">
        <v>66</v>
      </c>
      <c r="E7" s="15">
        <f>E5</f>
        <v>3031747.4400000004</v>
      </c>
    </row>
    <row r="8" spans="1:5" x14ac:dyDescent="0.2">
      <c r="A8" s="34" t="s">
        <v>56</v>
      </c>
      <c r="B8" s="15">
        <f>B7/3</f>
        <v>143000</v>
      </c>
      <c r="D8" s="93" t="s">
        <v>41</v>
      </c>
      <c r="E8" s="79">
        <v>0.5</v>
      </c>
    </row>
    <row r="9" spans="1:5" x14ac:dyDescent="0.2">
      <c r="A9" s="34" t="s">
        <v>55</v>
      </c>
      <c r="B9" s="15">
        <f>B7-B8</f>
        <v>286000</v>
      </c>
      <c r="D9" s="65" t="s">
        <v>52</v>
      </c>
      <c r="E9" s="15">
        <f>E7*E8</f>
        <v>1515873.7200000002</v>
      </c>
    </row>
    <row r="10" spans="1:5" ht="13.5" thickBot="1" x14ac:dyDescent="0.25">
      <c r="A10" s="47" t="s">
        <v>58</v>
      </c>
      <c r="B10" s="48">
        <v>100000</v>
      </c>
      <c r="D10" s="65" t="s">
        <v>67</v>
      </c>
      <c r="E10" s="15">
        <f>B6</f>
        <v>971000</v>
      </c>
    </row>
    <row r="11" spans="1:5" ht="13.5" thickBot="1" x14ac:dyDescent="0.25">
      <c r="A11" s="49" t="s">
        <v>57</v>
      </c>
      <c r="B11" s="50">
        <f>B9+20000+212000-B10</f>
        <v>418000</v>
      </c>
      <c r="D11" s="66" t="s">
        <v>68</v>
      </c>
      <c r="E11" s="54">
        <v>212000</v>
      </c>
    </row>
    <row r="12" spans="1:5" x14ac:dyDescent="0.2">
      <c r="D12" s="66" t="s">
        <v>69</v>
      </c>
      <c r="E12" s="153">
        <v>24000</v>
      </c>
    </row>
    <row r="13" spans="1:5" x14ac:dyDescent="0.2">
      <c r="D13" s="65" t="s">
        <v>70</v>
      </c>
      <c r="E13" s="15">
        <f>E7-E9-E10</f>
        <v>544873.7200000002</v>
      </c>
    </row>
    <row r="14" spans="1:5" x14ac:dyDescent="0.2">
      <c r="D14" s="65" t="s">
        <v>71</v>
      </c>
      <c r="E14" s="15">
        <f>E13/3</f>
        <v>181624.57333333339</v>
      </c>
    </row>
    <row r="15" spans="1:5" x14ac:dyDescent="0.2">
      <c r="D15" s="67" t="s">
        <v>72</v>
      </c>
      <c r="E15" s="68">
        <f>E13-E14</f>
        <v>363249.14666666684</v>
      </c>
    </row>
    <row r="16" spans="1:5" ht="13.5" thickBot="1" x14ac:dyDescent="0.25">
      <c r="D16" s="114" t="s">
        <v>113</v>
      </c>
      <c r="E16" s="59">
        <f>E17*17*12</f>
        <v>638316</v>
      </c>
    </row>
    <row r="17" spans="4:6" x14ac:dyDescent="0.2">
      <c r="D17" s="80" t="s">
        <v>78</v>
      </c>
      <c r="E17" s="41">
        <v>3129</v>
      </c>
    </row>
    <row r="18" spans="4:6" ht="13.5" thickBot="1" x14ac:dyDescent="0.25">
      <c r="D18" s="38" t="s">
        <v>77</v>
      </c>
      <c r="E18" s="70">
        <v>17</v>
      </c>
    </row>
    <row r="19" spans="4:6" ht="13.5" thickBot="1" x14ac:dyDescent="0.25">
      <c r="D19" s="124" t="s">
        <v>99</v>
      </c>
      <c r="E19" s="125">
        <f>B2/E18</f>
        <v>164705.88235294117</v>
      </c>
    </row>
    <row r="20" spans="4:6" x14ac:dyDescent="0.2">
      <c r="D20" s="237" t="s">
        <v>131</v>
      </c>
      <c r="E20" s="238"/>
    </row>
    <row r="21" spans="4:6" x14ac:dyDescent="0.2">
      <c r="D21" s="93" t="s">
        <v>92</v>
      </c>
      <c r="E21" s="15">
        <f>E7</f>
        <v>3031747.4400000004</v>
      </c>
    </row>
    <row r="22" spans="4:6" x14ac:dyDescent="0.2">
      <c r="D22" s="239" t="s">
        <v>97</v>
      </c>
      <c r="E22" s="15"/>
    </row>
    <row r="23" spans="4:6" x14ac:dyDescent="0.2">
      <c r="D23" s="93" t="s">
        <v>93</v>
      </c>
      <c r="E23" s="15">
        <f>0.4*E21</f>
        <v>1212698.9760000003</v>
      </c>
    </row>
    <row r="24" spans="4:6" x14ac:dyDescent="0.2">
      <c r="D24" s="91" t="s">
        <v>94</v>
      </c>
      <c r="E24" s="15">
        <f>0.05*E21</f>
        <v>151587.37200000003</v>
      </c>
    </row>
    <row r="25" spans="4:6" x14ac:dyDescent="0.2">
      <c r="D25" s="91" t="s">
        <v>95</v>
      </c>
      <c r="E25" s="15">
        <f>0.1*E21</f>
        <v>303174.74400000006</v>
      </c>
    </row>
    <row r="26" spans="4:6" x14ac:dyDescent="0.2">
      <c r="D26" s="18" t="s">
        <v>6</v>
      </c>
      <c r="E26" s="15">
        <f>E16</f>
        <v>638316</v>
      </c>
    </row>
    <row r="27" spans="4:6" x14ac:dyDescent="0.2">
      <c r="D27" s="18" t="s">
        <v>7</v>
      </c>
      <c r="E27" s="15">
        <f>E26/2</f>
        <v>319158</v>
      </c>
    </row>
    <row r="28" spans="4:6" x14ac:dyDescent="0.2">
      <c r="D28" s="94" t="s">
        <v>68</v>
      </c>
      <c r="E28" s="15">
        <v>212000</v>
      </c>
    </row>
    <row r="29" spans="4:6" x14ac:dyDescent="0.2">
      <c r="D29" s="94" t="s">
        <v>96</v>
      </c>
      <c r="E29" s="15">
        <v>24000</v>
      </c>
    </row>
    <row r="30" spans="4:6" x14ac:dyDescent="0.2">
      <c r="D30" s="94" t="s">
        <v>81</v>
      </c>
      <c r="E30" s="15">
        <f>E21-E23-E24-E25-E27-E26-E28</f>
        <v>194812.34800000023</v>
      </c>
    </row>
    <row r="31" spans="4:6" x14ac:dyDescent="0.2">
      <c r="D31" s="94" t="s">
        <v>82</v>
      </c>
      <c r="E31" s="15">
        <f>E30/3</f>
        <v>64937.44933333341</v>
      </c>
    </row>
    <row r="32" spans="4:6" ht="13.5" thickBot="1" x14ac:dyDescent="0.25">
      <c r="D32" s="95" t="s">
        <v>83</v>
      </c>
      <c r="E32" s="59">
        <f>E30-E31</f>
        <v>129874.89866666682</v>
      </c>
      <c r="F32" s="92"/>
    </row>
  </sheetData>
  <mergeCells count="4">
    <mergeCell ref="A1:B1"/>
    <mergeCell ref="D1:E1"/>
    <mergeCell ref="D6:E6"/>
    <mergeCell ref="D20:E20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Paramètres, Données du cas</vt:lpstr>
      <vt:lpstr>Q1) CA point mort, payback</vt:lpstr>
      <vt:lpstr>Q2a)Q2b) BFR</vt:lpstr>
      <vt:lpstr>Q3) Q4)CAF 2009 pour 2010 </vt:lpstr>
      <vt:lpstr>Q5) Salaires max</vt:lpstr>
      <vt:lpstr>Q6)Q7)Baisse MP et 90j</vt:lpstr>
      <vt:lpstr>Q8) ; Q9) ; Q 10)</vt:lpstr>
      <vt:lpstr>'Q5) Salaires max'!Zone_d_impression</vt:lpstr>
    </vt:vector>
  </TitlesOfParts>
  <Company>EISTI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</dc:creator>
  <cp:lastModifiedBy>Administrat0r</cp:lastModifiedBy>
  <cp:lastPrinted>2008-05-14T05:58:02Z</cp:lastPrinted>
  <dcterms:created xsi:type="dcterms:W3CDTF">2008-05-05T08:17:42Z</dcterms:created>
  <dcterms:modified xsi:type="dcterms:W3CDTF">2013-04-07T13:05:27Z</dcterms:modified>
</cp:coreProperties>
</file>