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 tabRatio="787" activeTab="4"/>
  </bookViews>
  <sheets>
    <sheet name="Q1) CA point mort, payback" sheetId="1" r:id="rId1"/>
    <sheet name="Q2a)Q2b) BFR" sheetId="2" r:id="rId2"/>
    <sheet name="BFR Simulation 30j" sheetId="7" r:id="rId3"/>
    <sheet name="BFR Simulation 45j" sheetId="8" r:id="rId4"/>
    <sheet name="Q3) Q4)CAF 2009 pour 2010 " sheetId="3" r:id="rId5"/>
    <sheet name="Q5) Salaires max" sheetId="4" r:id="rId6"/>
    <sheet name="Q6)Q7)Baisse MP et 90j" sheetId="5" r:id="rId7"/>
    <sheet name="Q8) ; Q9) ; Q 10)" sheetId="6" r:id="rId8"/>
  </sheets>
  <definedNames>
    <definedName name="Print_Area_2" localSheetId="2">'BFR Simulation 30j'!#REF!</definedName>
    <definedName name="Print_Area_2" localSheetId="3">'BFR Simulation 45j'!#REF!</definedName>
    <definedName name="Print_Area_2">'Q2a)Q2b) BFR'!#REF!</definedName>
    <definedName name="Print_Area_4">'Q5) Salaires max'!$A$1:$D$14</definedName>
  </definedNames>
  <calcPr calcId="144525" iterateDelta="1E-4"/>
</workbook>
</file>

<file path=xl/calcChain.xml><?xml version="1.0" encoding="utf-8"?>
<calcChain xmlns="http://schemas.openxmlformats.org/spreadsheetml/2006/main">
  <c r="D5" i="3" l="1"/>
  <c r="B5" i="3"/>
  <c r="B8" i="3" l="1"/>
  <c r="D3" i="3"/>
  <c r="B3" i="3"/>
  <c r="K19" i="8"/>
  <c r="K14" i="8"/>
  <c r="C13" i="8"/>
  <c r="C12" i="8"/>
  <c r="F9" i="8"/>
  <c r="F20" i="8" s="1"/>
  <c r="B8" i="8"/>
  <c r="B9" i="8" s="1"/>
  <c r="J7" i="8"/>
  <c r="F7" i="8"/>
  <c r="B7" i="8"/>
  <c r="K11" i="8" s="1"/>
  <c r="J6" i="8"/>
  <c r="B6" i="8"/>
  <c r="K10" i="8" s="1"/>
  <c r="J5" i="8"/>
  <c r="F5" i="8"/>
  <c r="B5" i="8"/>
  <c r="B14" i="8" s="1"/>
  <c r="J4" i="8"/>
  <c r="C4" i="8"/>
  <c r="F3" i="8"/>
  <c r="F19" i="8" s="1"/>
  <c r="B5" i="7"/>
  <c r="B4" i="7" s="1"/>
  <c r="B6" i="7"/>
  <c r="B7" i="7"/>
  <c r="K11" i="7" s="1"/>
  <c r="B8" i="7"/>
  <c r="B9" i="7"/>
  <c r="K19" i="7"/>
  <c r="K14" i="7"/>
  <c r="C13" i="7"/>
  <c r="C12" i="7"/>
  <c r="F9" i="7"/>
  <c r="F20" i="7" s="1"/>
  <c r="J7" i="7"/>
  <c r="F7" i="7"/>
  <c r="J6" i="7"/>
  <c r="K10" i="7"/>
  <c r="J5" i="7"/>
  <c r="F5" i="7"/>
  <c r="J4" i="7"/>
  <c r="C4" i="7"/>
  <c r="B6" i="3"/>
  <c r="F7" i="2"/>
  <c r="F5" i="2"/>
  <c r="B15" i="8" l="1"/>
  <c r="C14" i="8"/>
  <c r="B4" i="8"/>
  <c r="K16" i="8"/>
  <c r="B10" i="8"/>
  <c r="C10" i="8" s="1"/>
  <c r="F10" i="8"/>
  <c r="F11" i="8"/>
  <c r="J13" i="8"/>
  <c r="J20" i="8" s="1"/>
  <c r="K9" i="8"/>
  <c r="B14" i="7"/>
  <c r="C14" i="7" s="1"/>
  <c r="F3" i="7"/>
  <c r="F19" i="7" s="1"/>
  <c r="B15" i="7"/>
  <c r="K16" i="7"/>
  <c r="B10" i="7"/>
  <c r="C10" i="7" s="1"/>
  <c r="F10" i="7"/>
  <c r="F11" i="7"/>
  <c r="J13" i="7"/>
  <c r="J20" i="7" s="1"/>
  <c r="K9" i="7"/>
  <c r="C15" i="8" l="1"/>
  <c r="B16" i="8"/>
  <c r="F21" i="8"/>
  <c r="F22" i="8" s="1"/>
  <c r="F21" i="7"/>
  <c r="F22" i="7" s="1"/>
  <c r="C15" i="7"/>
  <c r="B16" i="7"/>
  <c r="K17" i="8" l="1"/>
  <c r="K20" i="8" s="1"/>
  <c r="J21" i="8" s="1"/>
  <c r="C16" i="8"/>
  <c r="B17" i="8"/>
  <c r="C17" i="8" s="1"/>
  <c r="F24" i="8"/>
  <c r="F23" i="8"/>
  <c r="F24" i="7"/>
  <c r="F23" i="7"/>
  <c r="K17" i="7"/>
  <c r="K20" i="7" s="1"/>
  <c r="J21" i="7" s="1"/>
  <c r="C16" i="7"/>
  <c r="B17" i="7"/>
  <c r="C17" i="7" s="1"/>
  <c r="J23" i="8" l="1"/>
  <c r="J22" i="8"/>
  <c r="J23" i="7"/>
  <c r="J22" i="7"/>
  <c r="I15" i="1" l="1"/>
  <c r="I14" i="1"/>
  <c r="I6" i="1"/>
  <c r="I4" i="1"/>
  <c r="D4" i="3" l="1"/>
  <c r="B4" i="3"/>
  <c r="B9" i="4" s="1"/>
  <c r="E4" i="6"/>
  <c r="B6" i="6"/>
  <c r="J33" i="5"/>
  <c r="J6" i="5"/>
  <c r="B46" i="5"/>
  <c r="K45" i="5"/>
  <c r="K40" i="5"/>
  <c r="C39" i="5"/>
  <c r="C38" i="5"/>
  <c r="F35" i="5"/>
  <c r="B34" i="5"/>
  <c r="B35" i="5" s="1"/>
  <c r="F33" i="5"/>
  <c r="J32" i="5" s="1"/>
  <c r="B33" i="5"/>
  <c r="K37" i="5" s="1"/>
  <c r="B32" i="5"/>
  <c r="F37" i="5" s="1"/>
  <c r="F31" i="5"/>
  <c r="J31" i="5" s="1"/>
  <c r="B31" i="5"/>
  <c r="C30" i="5"/>
  <c r="F29" i="5"/>
  <c r="J30" i="5" s="1"/>
  <c r="B20" i="5"/>
  <c r="K19" i="5"/>
  <c r="K14" i="5"/>
  <c r="C13" i="5"/>
  <c r="C12" i="5"/>
  <c r="F9" i="5"/>
  <c r="B9" i="5"/>
  <c r="K16" i="5" s="1"/>
  <c r="B8" i="5"/>
  <c r="J7" i="5"/>
  <c r="F7" i="5"/>
  <c r="B7" i="5"/>
  <c r="K11" i="5" s="1"/>
  <c r="B6" i="5"/>
  <c r="F11" i="5" s="1"/>
  <c r="F5" i="5"/>
  <c r="J5" i="5" s="1"/>
  <c r="B5" i="5"/>
  <c r="C4" i="5"/>
  <c r="B12" i="4"/>
  <c r="C12" i="4" s="1"/>
  <c r="K19" i="2"/>
  <c r="K14" i="2"/>
  <c r="C13" i="2"/>
  <c r="C12" i="2"/>
  <c r="F9" i="2"/>
  <c r="F20" i="2" s="1"/>
  <c r="B8" i="2"/>
  <c r="B9" i="2" s="1"/>
  <c r="K16" i="2" s="1"/>
  <c r="J7" i="2"/>
  <c r="B7" i="2"/>
  <c r="K11" i="2" s="1"/>
  <c r="J6" i="2"/>
  <c r="B6" i="2"/>
  <c r="K10" i="2" s="1"/>
  <c r="J5" i="2"/>
  <c r="B5" i="2"/>
  <c r="J4" i="2"/>
  <c r="C4" i="2"/>
  <c r="C13" i="1"/>
  <c r="C12" i="1"/>
  <c r="B8" i="1"/>
  <c r="B3" i="4" s="1"/>
  <c r="C3" i="4" s="1"/>
  <c r="C4" i="4" s="1"/>
  <c r="B7" i="1"/>
  <c r="B6" i="1"/>
  <c r="B5" i="1"/>
  <c r="C4" i="1"/>
  <c r="B3" i="6" s="1"/>
  <c r="B4" i="6" s="1"/>
  <c r="B7" i="6" s="1"/>
  <c r="I3" i="1"/>
  <c r="I2" i="1"/>
  <c r="F19" i="2" l="1"/>
  <c r="F3" i="2"/>
  <c r="B4" i="5"/>
  <c r="J13" i="5"/>
  <c r="J39" i="5"/>
  <c r="F3" i="5"/>
  <c r="J4" i="5" s="1"/>
  <c r="B40" i="5"/>
  <c r="B41" i="5" s="1"/>
  <c r="B8" i="6"/>
  <c r="B9" i="6" s="1"/>
  <c r="J13" i="2"/>
  <c r="J20" i="2" s="1"/>
  <c r="F11" i="2"/>
  <c r="B8" i="4"/>
  <c r="K42" i="5"/>
  <c r="B30" i="5"/>
  <c r="J46" i="5"/>
  <c r="K35" i="5"/>
  <c r="K36" i="5"/>
  <c r="B36" i="5"/>
  <c r="C36" i="5" s="1"/>
  <c r="F36" i="5"/>
  <c r="B4" i="4"/>
  <c r="J20" i="5"/>
  <c r="B10" i="4"/>
  <c r="B9" i="1"/>
  <c r="B14" i="1" s="1"/>
  <c r="I13" i="1"/>
  <c r="B4" i="2"/>
  <c r="K9" i="2"/>
  <c r="B14" i="2"/>
  <c r="K9" i="5"/>
  <c r="K10" i="5"/>
  <c r="B14" i="5"/>
  <c r="B10" i="2"/>
  <c r="C10" i="2" s="1"/>
  <c r="F10" i="2"/>
  <c r="B10" i="5"/>
  <c r="C10" i="5" s="1"/>
  <c r="F10" i="5"/>
  <c r="F21" i="2" l="1"/>
  <c r="F22" i="2" s="1"/>
  <c r="F23" i="2" s="1"/>
  <c r="B11" i="6"/>
  <c r="E3" i="6" s="1"/>
  <c r="C40" i="5"/>
  <c r="B15" i="1"/>
  <c r="C14" i="1"/>
  <c r="B15" i="5"/>
  <c r="C14" i="5"/>
  <c r="B15" i="2"/>
  <c r="C14" i="2"/>
  <c r="B10" i="1"/>
  <c r="C10" i="1" s="1"/>
  <c r="B4" i="1"/>
  <c r="I5" i="1" s="1"/>
  <c r="I8" i="1" s="1"/>
  <c r="I9" i="1" s="1"/>
  <c r="D4" i="4"/>
  <c r="D3" i="4"/>
  <c r="F24" i="2" l="1"/>
  <c r="B42" i="5"/>
  <c r="B43" i="5" s="1"/>
  <c r="C41" i="5"/>
  <c r="B16" i="2"/>
  <c r="B17" i="2" s="1"/>
  <c r="C17" i="2" s="1"/>
  <c r="C15" i="2"/>
  <c r="B16" i="5"/>
  <c r="C15" i="5"/>
  <c r="B5" i="4"/>
  <c r="C5" i="4" s="1"/>
  <c r="C6" i="4" s="1"/>
  <c r="C7" i="4" s="1"/>
  <c r="B16" i="1"/>
  <c r="C16" i="1" s="1"/>
  <c r="C15" i="1"/>
  <c r="B17" i="1" l="1"/>
  <c r="C43" i="5"/>
  <c r="K43" i="5"/>
  <c r="K46" i="5" s="1"/>
  <c r="J47" i="5" s="1"/>
  <c r="J48" i="5" s="1"/>
  <c r="C42" i="5"/>
  <c r="C17" i="1"/>
  <c r="K17" i="5"/>
  <c r="K20" i="5" s="1"/>
  <c r="J21" i="5" s="1"/>
  <c r="J22" i="5" s="1"/>
  <c r="C16" i="5"/>
  <c r="B6" i="4"/>
  <c r="B7" i="4" s="1"/>
  <c r="B13" i="4" s="1"/>
  <c r="B14" i="4" s="1"/>
  <c r="K17" i="2"/>
  <c r="K20" i="2" s="1"/>
  <c r="J21" i="2" s="1"/>
  <c r="C16" i="2"/>
  <c r="B17" i="5"/>
  <c r="C17" i="5" l="1"/>
  <c r="J24" i="5"/>
  <c r="J22" i="2"/>
  <c r="J23" i="2"/>
  <c r="J50" i="5"/>
  <c r="J52" i="5" s="1"/>
  <c r="D6" i="4"/>
  <c r="D5" i="4"/>
  <c r="D6" i="3"/>
  <c r="B7" i="3"/>
  <c r="C13" i="4" l="1"/>
  <c r="C14" i="4" s="1"/>
  <c r="D14" i="4" s="1"/>
  <c r="D8" i="3"/>
  <c r="D7" i="3"/>
</calcChain>
</file>

<file path=xl/sharedStrings.xml><?xml version="1.0" encoding="utf-8"?>
<sst xmlns="http://schemas.openxmlformats.org/spreadsheetml/2006/main" count="467" uniqueCount="140">
  <si>
    <t>Compte de résultat</t>
  </si>
  <si>
    <t>Montant</t>
  </si>
  <si>
    <t>% du CA HT</t>
  </si>
  <si>
    <t>Informations</t>
  </si>
  <si>
    <t>Durée moyenne en j de rotation ou d'immobilisation</t>
  </si>
  <si>
    <t>Q1) CA* et date du pay-back</t>
  </si>
  <si>
    <t>CA HT</t>
  </si>
  <si>
    <t>Charges</t>
  </si>
  <si>
    <t>Stocks matières premières</t>
  </si>
  <si>
    <t>Charges fixes = CF</t>
  </si>
  <si>
    <t>Charges variables</t>
  </si>
  <si>
    <t>Stocks autres approvisionnements</t>
  </si>
  <si>
    <t>Quantité en stock négligeable</t>
  </si>
  <si>
    <t>CV/CA</t>
  </si>
  <si>
    <t>Achats matières premières</t>
  </si>
  <si>
    <t>Stocks de produits semi-finis</t>
  </si>
  <si>
    <t>CV = Charges variables</t>
  </si>
  <si>
    <t>Autres approvisionnements</t>
  </si>
  <si>
    <t>Coût de revient du produit semi-fini</t>
  </si>
  <si>
    <t>60% du Prix de vente HT</t>
  </si>
  <si>
    <t>CA* point mort= CF+CV</t>
  </si>
  <si>
    <t>Services extérieurs</t>
  </si>
  <si>
    <t>Stocks produits finis</t>
  </si>
  <si>
    <t>Salaires</t>
  </si>
  <si>
    <t>Coût de revient du produit fini</t>
  </si>
  <si>
    <t>80% du Prix de Vente HT</t>
  </si>
  <si>
    <t>Nbre de jours écoulés en 2009 pour atteindre le CA*</t>
  </si>
  <si>
    <t>Charges sociales</t>
  </si>
  <si>
    <t>Délai de paiement Clients</t>
  </si>
  <si>
    <t>Date du point mort</t>
  </si>
  <si>
    <t>EBE</t>
  </si>
  <si>
    <t>Délai de règlement fournisseurs de matières premières</t>
  </si>
  <si>
    <t>Charges fixes</t>
  </si>
  <si>
    <t>Délai de règlement fournisseurs autres appros et services</t>
  </si>
  <si>
    <t>Effectif de fin d'année 2009</t>
  </si>
  <si>
    <t>Dotations aux amortissements</t>
  </si>
  <si>
    <t>Taux de TVA</t>
  </si>
  <si>
    <t>Salaire moyen mensuel brut/salarié</t>
  </si>
  <si>
    <t>Intérêts d'emprunts</t>
  </si>
  <si>
    <t>Salaires</t>
  </si>
  <si>
    <t>payés en fin de mois</t>
  </si>
  <si>
    <t>Salaires bruts 2009</t>
  </si>
  <si>
    <t>Total charges</t>
  </si>
  <si>
    <t>payées le 15 du mois suivant la fin du trimestre</t>
  </si>
  <si>
    <t>BN2 = Résultat avant impôt</t>
  </si>
  <si>
    <t>versés dans le mois suivant la fin de trimestre</t>
  </si>
  <si>
    <t>Productivité par personne en 2009</t>
  </si>
  <si>
    <t>Impôt sur bénéfices = 1/3 BN2</t>
  </si>
  <si>
    <t>BN1 = Résultat d'exploitation après impôt</t>
  </si>
  <si>
    <t>Q2b)CALCUL DU BFR COMPLET</t>
  </si>
  <si>
    <t>Actif cyclique</t>
  </si>
  <si>
    <t>Passif cyclique</t>
  </si>
  <si>
    <t>Stocks</t>
  </si>
  <si>
    <t>Stocks d'en-cours ou semi-finis</t>
  </si>
  <si>
    <t>Créances clients (45 j de CA TTC)</t>
  </si>
  <si>
    <t>Dettes fournisseurs d'exploitation</t>
  </si>
  <si>
    <t>Dettes fournisseurs matières premières (60 j d'achats TTC)</t>
  </si>
  <si>
    <t>Dettes fournisseurs autres approvisionnements (45 j d'achats TTC)</t>
  </si>
  <si>
    <t>Dettes fournisseurs de services (45 j d'achats TTC)</t>
  </si>
  <si>
    <t>TVA sur achats déductible</t>
  </si>
  <si>
    <t>TVA sur ventes collectée</t>
  </si>
  <si>
    <t>Dette moyenne sur charges sociales</t>
  </si>
  <si>
    <t>Dette impôts sur bénéfices</t>
  </si>
  <si>
    <t>Q2a) CALCUL DU BFR SIMPLIFIE</t>
  </si>
  <si>
    <t>Dette moyenne sur intérêts d'emprunt</t>
  </si>
  <si>
    <t>Productivité par personne de 2009</t>
  </si>
  <si>
    <t>Créances Clients</t>
  </si>
  <si>
    <t>Total</t>
  </si>
  <si>
    <t>Effectif de fin d'année 2011</t>
  </si>
  <si>
    <t>Dettes fournisseurs</t>
  </si>
  <si>
    <t>BFR complet</t>
  </si>
  <si>
    <t>Productivité par personne de 2011</t>
  </si>
  <si>
    <t>BFR simplifié</t>
  </si>
  <si>
    <t>RATIO BFR/CA HT</t>
  </si>
  <si>
    <t>Q3) CAF pour financer la croissance 2010 avec paiement client à 45 j</t>
  </si>
  <si>
    <t>CA Objectif 2010</t>
  </si>
  <si>
    <t>BFR 2010 avec paiement clients à 45 j</t>
  </si>
  <si>
    <t>Investissements en 2010</t>
  </si>
  <si>
    <t>Total à financer en 2010 par la CAF 2009 sans dividendes</t>
  </si>
  <si>
    <t>CAF calculée sur 2009 = BN1 2009 + Amortissements 2009</t>
  </si>
  <si>
    <t>Peut-on autofinancer la croissance ?</t>
  </si>
  <si>
    <t>Dividendes maximum possibles prélevés sur 2009 et versés en 2010</t>
  </si>
  <si>
    <t>Emprunt pour financer la croissance</t>
  </si>
  <si>
    <t>Avant augmentation de salaires en 2009</t>
  </si>
  <si>
    <t>Après augmentation de salaires en 2009</t>
  </si>
  <si>
    <t>∆</t>
  </si>
  <si>
    <t>Impacts</t>
  </si>
  <si>
    <t>Salaires bruts</t>
  </si>
  <si>
    <t>BN2</t>
  </si>
  <si>
    <t>Impôts sur bénéfices</t>
  </si>
  <si>
    <t>BN1 2009</t>
  </si>
  <si>
    <t>Investissements à financer en janvier 2010</t>
  </si>
  <si>
    <t>Total à autofinancer</t>
  </si>
  <si>
    <t>Amortissements 2009</t>
  </si>
  <si>
    <t>CAF 2009 = BN1 2009 + Amortissements 2009</t>
  </si>
  <si>
    <t>Dividendes distribuables</t>
  </si>
  <si>
    <t>Compte de résultat 2010</t>
  </si>
  <si>
    <t>Pourcentage de baisse du prix des MP</t>
  </si>
  <si>
    <t>Nouveau BFR complet</t>
  </si>
  <si>
    <t>Nouveau RATIO BFR/CA HT</t>
  </si>
  <si>
    <t>Q8) CAF à fin 2010 pour financer la croissance de 2011</t>
  </si>
  <si>
    <t>Q9) CA max 2011 autofinancé par CAF de fin 2010</t>
  </si>
  <si>
    <t>CA HT 2010</t>
  </si>
  <si>
    <t>CAF à fin 2010 pour financer le BFR max 2011</t>
  </si>
  <si>
    <t>CV 2010</t>
  </si>
  <si>
    <t>BFR/CA en 2010 et 2011</t>
  </si>
  <si>
    <t>CA max HT 2011 ?</t>
  </si>
  <si>
    <t>CF 2010</t>
  </si>
  <si>
    <t>Q10) BN1 2011</t>
  </si>
  <si>
    <t>BN2 2010</t>
  </si>
  <si>
    <t>CA HT 2011</t>
  </si>
  <si>
    <t>Impôts sur bénéfices 2010</t>
  </si>
  <si>
    <t>BN1 2010</t>
  </si>
  <si>
    <t>CV</t>
  </si>
  <si>
    <t>Dividendes à distribuer en 2011 sur bénéfices 2010</t>
  </si>
  <si>
    <t>CF</t>
  </si>
  <si>
    <t>CAF à fin 2010 pour financer la croissance de 2011</t>
  </si>
  <si>
    <t>Amortissements</t>
  </si>
  <si>
    <t>Frais financiers</t>
  </si>
  <si>
    <t>BN2 2011</t>
  </si>
  <si>
    <t>Impôts sur bénéfices 2011</t>
  </si>
  <si>
    <t>BN1 2011</t>
  </si>
  <si>
    <t>Montant des salaires bruts annuels</t>
  </si>
  <si>
    <t>Salaire moyen mensuel brut</t>
  </si>
  <si>
    <t>Productivité par personne en 2011</t>
  </si>
  <si>
    <t>Vérification BN1 2011</t>
  </si>
  <si>
    <t>CA</t>
  </si>
  <si>
    <t>Charges</t>
  </si>
  <si>
    <t>Achats MP (40% CA)</t>
  </si>
  <si>
    <t>Autres approvisionnements (5%)</t>
  </si>
  <si>
    <t>Services extérieurs (10%)</t>
  </si>
  <si>
    <t>Charges financières</t>
  </si>
  <si>
    <t>BN1</t>
  </si>
  <si>
    <t>Dividendes</t>
  </si>
  <si>
    <t xml:space="preserve">Différence </t>
  </si>
  <si>
    <t>BFR à financer en 2010 pour 2800000 de CA</t>
  </si>
  <si>
    <t>BFR 2010 avec paiement clients à 30 j</t>
  </si>
  <si>
    <t>Q3) CAF pour financer la croissance 2010 avec paiement client à 30 j</t>
  </si>
  <si>
    <t>BFR en nb de j du CA</t>
  </si>
  <si>
    <t>BFR en  % du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</si>
</sst>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sz val="18"/>
      <name val="Calibri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7" fillId="0" borderId="0"/>
    <xf numFmtId="44" fontId="7" fillId="0" borderId="0" applyFont="0" applyFill="0" applyBorder="0" applyAlignment="0" applyProtection="0"/>
  </cellStyleXfs>
  <cellXfs count="162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0" fillId="0" borderId="6" xfId="0" applyNumberForma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/>
    <xf numFmtId="3" fontId="0" fillId="0" borderId="6" xfId="0" applyNumberFormat="1" applyBorder="1"/>
    <xf numFmtId="10" fontId="0" fillId="0" borderId="7" xfId="0" applyNumberFormat="1" applyBorder="1"/>
    <xf numFmtId="0" fontId="0" fillId="0" borderId="6" xfId="0" applyFont="1" applyBorder="1" applyAlignment="1">
      <alignment horizontal="center" vertical="center" wrapText="1"/>
    </xf>
    <xf numFmtId="10" fontId="0" fillId="0" borderId="7" xfId="1" applyNumberFormat="1" applyFont="1" applyBorder="1" applyAlignment="1" applyProtection="1">
      <alignment vertical="center"/>
    </xf>
    <xf numFmtId="3" fontId="2" fillId="2" borderId="6" xfId="0" applyNumberFormat="1" applyFont="1" applyFill="1" applyBorder="1" applyAlignment="1">
      <alignment vertical="center" wrapText="1"/>
    </xf>
    <xf numFmtId="10" fontId="2" fillId="0" borderId="7" xfId="0" applyNumberFormat="1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0" fillId="2" borderId="11" xfId="0" applyFont="1" applyFill="1" applyBorder="1" applyAlignment="1">
      <alignment vertical="center"/>
    </xf>
    <xf numFmtId="3" fontId="0" fillId="2" borderId="12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horizontal="center"/>
    </xf>
    <xf numFmtId="0" fontId="2" fillId="0" borderId="7" xfId="0" applyFont="1" applyBorder="1"/>
    <xf numFmtId="0" fontId="0" fillId="0" borderId="1" xfId="0" applyFont="1" applyBorder="1" applyAlignment="1">
      <alignment vertical="center"/>
    </xf>
    <xf numFmtId="2" fontId="0" fillId="0" borderId="3" xfId="0" applyNumberFormat="1" applyBorder="1" applyAlignment="1">
      <alignment vertical="center"/>
    </xf>
    <xf numFmtId="14" fontId="0" fillId="2" borderId="12" xfId="0" applyNumberFormat="1" applyFill="1" applyBorder="1" applyAlignment="1">
      <alignment vertical="center"/>
    </xf>
    <xf numFmtId="10" fontId="0" fillId="0" borderId="7" xfId="0" applyNumberFormat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10" fontId="0" fillId="0" borderId="6" xfId="0" applyNumberForma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5" xfId="0" applyFont="1" applyFill="1" applyBorder="1" applyAlignment="1">
      <alignment vertical="center" wrapText="1"/>
    </xf>
    <xf numFmtId="4" fontId="0" fillId="2" borderId="6" xfId="0" applyNumberFormat="1" applyFill="1" applyBorder="1" applyAlignment="1">
      <alignment vertical="center" wrapText="1"/>
    </xf>
    <xf numFmtId="10" fontId="0" fillId="2" borderId="7" xfId="0" applyNumberFormat="1" applyFill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0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2" borderId="11" xfId="0" applyFont="1" applyFill="1" applyBorder="1" applyAlignment="1">
      <alignment vertical="center" wrapText="1"/>
    </xf>
    <xf numFmtId="4" fontId="0" fillId="2" borderId="13" xfId="0" applyNumberFormat="1" applyFill="1" applyBorder="1" applyAlignment="1">
      <alignment vertical="center" wrapText="1"/>
    </xf>
    <xf numFmtId="10" fontId="0" fillId="2" borderId="12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4" fontId="0" fillId="2" borderId="6" xfId="0" applyNumberFormat="1" applyFill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5" xfId="0" applyFont="1" applyBorder="1" applyAlignment="1">
      <alignment horizontal="left" vertical="center" wrapText="1"/>
    </xf>
    <xf numFmtId="4" fontId="0" fillId="2" borderId="7" xfId="0" applyNumberFormat="1" applyFill="1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4" fontId="0" fillId="2" borderId="6" xfId="0" applyNumberFormat="1" applyFill="1" applyBorder="1"/>
    <xf numFmtId="4" fontId="0" fillId="0" borderId="7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0" fillId="2" borderId="7" xfId="0" applyNumberFormat="1" applyFill="1" applyBorder="1"/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10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10" fontId="0" fillId="0" borderId="0" xfId="0" applyNumberFormat="1"/>
    <xf numFmtId="4" fontId="0" fillId="0" borderId="0" xfId="0" applyNumberFormat="1"/>
    <xf numFmtId="0" fontId="1" fillId="2" borderId="5" xfId="0" applyFont="1" applyFill="1" applyBorder="1" applyAlignment="1">
      <alignment vertical="center"/>
    </xf>
    <xf numFmtId="0" fontId="1" fillId="0" borderId="16" xfId="0" applyFont="1" applyBorder="1" applyAlignment="1">
      <alignment horizontal="center"/>
    </xf>
    <xf numFmtId="0" fontId="0" fillId="0" borderId="1" xfId="0" applyFont="1" applyBorder="1"/>
    <xf numFmtId="0" fontId="0" fillId="0" borderId="5" xfId="0" applyFont="1" applyBorder="1"/>
    <xf numFmtId="0" fontId="0" fillId="0" borderId="5" xfId="0" applyFont="1" applyBorder="1"/>
    <xf numFmtId="0" fontId="0" fillId="2" borderId="5" xfId="0" applyFont="1" applyFill="1" applyBorder="1"/>
    <xf numFmtId="0" fontId="0" fillId="2" borderId="11" xfId="0" applyFont="1" applyFill="1" applyBorder="1"/>
    <xf numFmtId="4" fontId="0" fillId="2" borderId="12" xfId="0" applyNumberFormat="1" applyFill="1" applyBorder="1"/>
    <xf numFmtId="0" fontId="0" fillId="0" borderId="1" xfId="0" applyBorder="1"/>
    <xf numFmtId="0" fontId="5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1" fillId="0" borderId="5" xfId="0" applyFont="1" applyBorder="1"/>
    <xf numFmtId="4" fontId="1" fillId="0" borderId="6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1" xfId="0" applyFont="1" applyBorder="1"/>
    <xf numFmtId="4" fontId="1" fillId="2" borderId="13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0" xfId="0" applyFont="1"/>
    <xf numFmtId="10" fontId="6" fillId="0" borderId="0" xfId="0" applyNumberFormat="1" applyFont="1"/>
    <xf numFmtId="0" fontId="6" fillId="2" borderId="5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4" fontId="2" fillId="0" borderId="7" xfId="0" applyNumberFormat="1" applyFont="1" applyBorder="1"/>
    <xf numFmtId="0" fontId="0" fillId="0" borderId="22" xfId="0" applyBorder="1"/>
    <xf numFmtId="4" fontId="2" fillId="0" borderId="23" xfId="0" applyNumberFormat="1" applyFont="1" applyBorder="1"/>
    <xf numFmtId="10" fontId="0" fillId="0" borderId="7" xfId="1" applyNumberFormat="1" applyFont="1" applyBorder="1" applyAlignment="1" applyProtection="1"/>
    <xf numFmtId="4" fontId="0" fillId="0" borderId="7" xfId="0" applyNumberFormat="1" applyFont="1" applyBorder="1"/>
    <xf numFmtId="10" fontId="0" fillId="0" borderId="7" xfId="0" applyNumberFormat="1" applyFont="1" applyBorder="1"/>
    <xf numFmtId="0" fontId="0" fillId="0" borderId="24" xfId="0" applyFont="1" applyBorder="1"/>
    <xf numFmtId="4" fontId="2" fillId="0" borderId="23" xfId="0" applyNumberFormat="1" applyFont="1" applyBorder="1"/>
    <xf numFmtId="0" fontId="0" fillId="2" borderId="25" xfId="0" applyFont="1" applyFill="1" applyBorder="1"/>
    <xf numFmtId="4" fontId="0" fillId="2" borderId="26" xfId="0" applyNumberFormat="1" applyFill="1" applyBorder="1"/>
    <xf numFmtId="0" fontId="0" fillId="0" borderId="5" xfId="0" applyFont="1" applyBorder="1" applyAlignment="1">
      <alignment horizontal="right"/>
    </xf>
    <xf numFmtId="3" fontId="2" fillId="0" borderId="7" xfId="0" applyNumberFormat="1" applyFont="1" applyBorder="1"/>
    <xf numFmtId="0" fontId="0" fillId="2" borderId="8" xfId="0" applyFont="1" applyFill="1" applyBorder="1"/>
    <xf numFmtId="1" fontId="0" fillId="2" borderId="12" xfId="0" applyNumberFormat="1" applyFill="1" applyBorder="1"/>
    <xf numFmtId="0" fontId="0" fillId="2" borderId="27" xfId="0" applyFont="1" applyFill="1" applyBorder="1"/>
    <xf numFmtId="4" fontId="0" fillId="0" borderId="28" xfId="0" applyNumberFormat="1" applyBorder="1"/>
    <xf numFmtId="0" fontId="0" fillId="0" borderId="0" xfId="0" applyFont="1" applyAlignment="1">
      <alignment horizontal="center"/>
    </xf>
    <xf numFmtId="0" fontId="6" fillId="3" borderId="6" xfId="0" applyFont="1" applyFill="1" applyBorder="1"/>
    <xf numFmtId="4" fontId="6" fillId="3" borderId="6" xfId="0" applyNumberFormat="1" applyFont="1" applyFill="1" applyBorder="1"/>
    <xf numFmtId="0" fontId="0" fillId="0" borderId="5" xfId="0" applyBorder="1"/>
    <xf numFmtId="0" fontId="1" fillId="3" borderId="8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4" fontId="1" fillId="2" borderId="7" xfId="0" applyNumberFormat="1" applyFont="1" applyFill="1" applyBorder="1"/>
    <xf numFmtId="0" fontId="1" fillId="3" borderId="11" xfId="0" applyFont="1" applyFill="1" applyBorder="1" applyAlignment="1">
      <alignment vertical="center" wrapText="1"/>
    </xf>
    <xf numFmtId="0" fontId="1" fillId="3" borderId="10" xfId="0" applyFont="1" applyFill="1" applyBorder="1"/>
    <xf numFmtId="0" fontId="1" fillId="3" borderId="27" xfId="0" applyFont="1" applyFill="1" applyBorder="1" applyAlignment="1">
      <alignment vertical="center" wrapText="1"/>
    </xf>
    <xf numFmtId="10" fontId="1" fillId="3" borderId="30" xfId="1" applyNumberFormat="1" applyFont="1" applyFill="1" applyBorder="1"/>
    <xf numFmtId="44" fontId="2" fillId="0" borderId="17" xfId="2" applyFont="1" applyBorder="1" applyAlignment="1" applyProtection="1"/>
    <xf numFmtId="44" fontId="0" fillId="0" borderId="18" xfId="2" applyFont="1" applyBorder="1" applyAlignment="1" applyProtection="1"/>
    <xf numFmtId="44" fontId="2" fillId="0" borderId="18" xfId="2" applyFont="1" applyBorder="1" applyAlignment="1" applyProtection="1"/>
    <xf numFmtId="44" fontId="4" fillId="0" borderId="18" xfId="2" applyFont="1" applyBorder="1" applyAlignment="1" applyProtection="1"/>
    <xf numFmtId="44" fontId="0" fillId="2" borderId="18" xfId="2" applyFont="1" applyFill="1" applyBorder="1" applyAlignment="1" applyProtection="1">
      <alignment horizontal="center"/>
    </xf>
    <xf numFmtId="44" fontId="2" fillId="2" borderId="14" xfId="2" applyFont="1" applyFill="1" applyBorder="1" applyAlignment="1" applyProtection="1">
      <alignment horizontal="center"/>
    </xf>
    <xf numFmtId="44" fontId="2" fillId="0" borderId="7" xfId="2" applyFont="1" applyBorder="1" applyAlignment="1" applyProtection="1"/>
    <xf numFmtId="44" fontId="0" fillId="0" borderId="7" xfId="2" applyFont="1" applyBorder="1" applyAlignment="1" applyProtection="1"/>
    <xf numFmtId="44" fontId="4" fillId="0" borderId="7" xfId="2" applyFont="1" applyBorder="1" applyAlignment="1" applyProtection="1"/>
    <xf numFmtId="44" fontId="0" fillId="2" borderId="7" xfId="2" applyFont="1" applyFill="1" applyBorder="1" applyAlignment="1" applyProtection="1">
      <alignment horizontal="center"/>
    </xf>
    <xf numFmtId="44" fontId="2" fillId="2" borderId="7" xfId="2" applyFont="1" applyFill="1" applyBorder="1" applyAlignment="1" applyProtection="1">
      <alignment horizontal="center"/>
    </xf>
    <xf numFmtId="44" fontId="0" fillId="2" borderId="12" xfId="2" applyFont="1" applyFill="1" applyBorder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/>
    </xf>
    <xf numFmtId="4" fontId="1" fillId="2" borderId="7" xfId="0" applyNumberFormat="1" applyFont="1" applyFill="1" applyBorder="1" applyAlignment="1">
      <alignment horizontal="center"/>
    </xf>
    <xf numFmtId="10" fontId="1" fillId="2" borderId="18" xfId="0" applyNumberFormat="1" applyFont="1" applyFill="1" applyBorder="1" applyAlignment="1">
      <alignment horizontal="center"/>
    </xf>
    <xf numFmtId="10" fontId="1" fillId="2" borderId="7" xfId="0" applyNumberFormat="1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4" fontId="1" fillId="0" borderId="18" xfId="0" applyNumberFormat="1" applyFon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10" fontId="6" fillId="2" borderId="14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60840</xdr:colOff>
      <xdr:row>2</xdr:row>
      <xdr:rowOff>32400</xdr:rowOff>
    </xdr:from>
    <xdr:to>
      <xdr:col>9</xdr:col>
      <xdr:colOff>345240</xdr:colOff>
      <xdr:row>10</xdr:row>
      <xdr:rowOff>27000</xdr:rowOff>
    </xdr:to>
    <xdr:sp macro="" textlink="">
      <xdr:nvSpPr>
        <xdr:cNvPr id="2" name="TextShape 1"/>
        <xdr:cNvSpPr txBox="1"/>
      </xdr:nvSpPr>
      <xdr:spPr>
        <a:xfrm>
          <a:off x="6883560" y="1036800"/>
          <a:ext cx="3392640" cy="1290240"/>
        </a:xfrm>
        <a:prstGeom prst="rect">
          <a:avLst/>
        </a:prstGeom>
      </xdr:spPr>
      <xdr:txBody>
        <a:bodyPr wrap="none" lIns="0" tIns="0" rIns="0" bIns="0"/>
        <a:lstStyle/>
        <a:p>
          <a:r>
            <a:rPr lang="fr-FR"/>
            <a:t>Augmenter les salaires bruts de 50,29087% annule les dividendes.</a:t>
          </a:r>
          <a:endParaRPr/>
        </a:p>
        <a:p>
          <a:endParaRPr/>
        </a:p>
        <a:p>
          <a:r>
            <a:rPr lang="fr-FR"/>
            <a:t>Non seulement les salaires augmentes, mais les charges sociales également. Le bénéfice diminue, jusqu'à ce que les besoins en autofinancement soient égal au CAF.</a:t>
          </a:r>
          <a:endParaRPr/>
        </a:p>
        <a:p>
          <a:endParaRPr/>
        </a:p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PageLayoutView="60" workbookViewId="0">
      <selection activeCell="B12" sqref="B12"/>
    </sheetView>
  </sheetViews>
  <sheetFormatPr defaultColWidth="11.42578125" defaultRowHeight="12.75" x14ac:dyDescent="0.2"/>
  <cols>
    <col min="1" max="1" width="36"/>
    <col min="2" max="2" width="10.140625"/>
    <col min="3" max="3" width="11.28515625"/>
    <col min="4" max="4" width="31.85546875"/>
    <col min="5" max="5" width="25.28515625"/>
    <col min="6" max="6" width="23.85546875"/>
    <col min="7" max="7" width="10.7109375"/>
    <col min="8" max="8" width="45"/>
    <col min="9" max="1025" width="10.7109375"/>
  </cols>
  <sheetData>
    <row r="1" spans="1:9" ht="25.5" x14ac:dyDescent="0.2">
      <c r="A1" s="1" t="s">
        <v>0</v>
      </c>
      <c r="B1" s="2" t="s">
        <v>1</v>
      </c>
      <c r="C1" s="3" t="s">
        <v>2</v>
      </c>
      <c r="D1" s="4"/>
      <c r="E1" s="2" t="s">
        <v>3</v>
      </c>
      <c r="F1" s="3" t="s">
        <v>4</v>
      </c>
      <c r="H1" s="144" t="s">
        <v>5</v>
      </c>
      <c r="I1" s="144"/>
    </row>
    <row r="2" spans="1:9" x14ac:dyDescent="0.2">
      <c r="A2" s="5" t="s">
        <v>6</v>
      </c>
      <c r="B2" s="6">
        <v>2400000</v>
      </c>
      <c r="C2" s="7"/>
      <c r="D2" s="8"/>
      <c r="E2" s="9"/>
      <c r="F2" s="10"/>
      <c r="H2" s="11" t="s">
        <v>6</v>
      </c>
      <c r="I2" s="12">
        <f>B2</f>
        <v>2400000</v>
      </c>
    </row>
    <row r="3" spans="1:9" x14ac:dyDescent="0.2">
      <c r="A3" s="5" t="s">
        <v>7</v>
      </c>
      <c r="B3" s="13"/>
      <c r="C3" s="7"/>
      <c r="D3" s="8" t="s">
        <v>8</v>
      </c>
      <c r="E3" s="13"/>
      <c r="F3" s="14">
        <v>30</v>
      </c>
      <c r="H3" s="11" t="s">
        <v>9</v>
      </c>
      <c r="I3" s="12">
        <f>B12+B13</f>
        <v>216000</v>
      </c>
    </row>
    <row r="4" spans="1:9" ht="25.5" x14ac:dyDescent="0.2">
      <c r="A4" s="15" t="s">
        <v>10</v>
      </c>
      <c r="B4" s="16">
        <f>SUM(B5:B9)</f>
        <v>1950000</v>
      </c>
      <c r="C4" s="17">
        <f>SUM(C5:C9)</f>
        <v>0.81250000000000011</v>
      </c>
      <c r="D4" s="8" t="s">
        <v>11</v>
      </c>
      <c r="E4" s="18" t="s">
        <v>12</v>
      </c>
      <c r="F4" s="14"/>
      <c r="H4" s="11" t="s">
        <v>13</v>
      </c>
      <c r="I4" s="19">
        <f>I5/I2</f>
        <v>0.8125</v>
      </c>
    </row>
    <row r="5" spans="1:9" x14ac:dyDescent="0.2">
      <c r="A5" s="8" t="s">
        <v>14</v>
      </c>
      <c r="B5" s="20">
        <f>C5*B2</f>
        <v>960000</v>
      </c>
      <c r="C5" s="21">
        <v>0.4</v>
      </c>
      <c r="D5" s="22" t="s">
        <v>15</v>
      </c>
      <c r="E5" s="18"/>
      <c r="F5" s="23">
        <v>20</v>
      </c>
      <c r="H5" s="11" t="s">
        <v>16</v>
      </c>
      <c r="I5" s="12">
        <f>B4</f>
        <v>1950000</v>
      </c>
    </row>
    <row r="6" spans="1:9" x14ac:dyDescent="0.2">
      <c r="A6" s="8" t="s">
        <v>17</v>
      </c>
      <c r="B6" s="6">
        <f>C6*B2</f>
        <v>120000</v>
      </c>
      <c r="C6" s="21">
        <v>0.05</v>
      </c>
      <c r="D6" s="24" t="s">
        <v>18</v>
      </c>
      <c r="E6" s="25" t="s">
        <v>19</v>
      </c>
      <c r="F6" s="26"/>
      <c r="H6" s="27" t="s">
        <v>20</v>
      </c>
      <c r="I6" s="28">
        <f>I3/((I2-I5)/I2)</f>
        <v>1152000</v>
      </c>
    </row>
    <row r="7" spans="1:9" x14ac:dyDescent="0.2">
      <c r="A7" s="8" t="s">
        <v>21</v>
      </c>
      <c r="B7" s="6">
        <f>C7*B2</f>
        <v>240000</v>
      </c>
      <c r="C7" s="21">
        <v>0.1</v>
      </c>
      <c r="D7" s="8" t="s">
        <v>22</v>
      </c>
      <c r="E7" s="18"/>
      <c r="F7" s="14">
        <v>10</v>
      </c>
      <c r="H7" s="29"/>
      <c r="I7" s="29"/>
    </row>
    <row r="8" spans="1:9" x14ac:dyDescent="0.2">
      <c r="A8" s="8" t="s">
        <v>23</v>
      </c>
      <c r="B8" s="6">
        <f>C8*B2</f>
        <v>420000</v>
      </c>
      <c r="C8" s="21">
        <v>0.17499999999999999</v>
      </c>
      <c r="D8" s="30" t="s">
        <v>24</v>
      </c>
      <c r="E8" s="31" t="s">
        <v>25</v>
      </c>
      <c r="F8" s="32"/>
      <c r="H8" s="33" t="s">
        <v>26</v>
      </c>
      <c r="I8" s="34">
        <f>I6/I2*365</f>
        <v>175.2</v>
      </c>
    </row>
    <row r="9" spans="1:9" x14ac:dyDescent="0.2">
      <c r="A9" s="8" t="s">
        <v>27</v>
      </c>
      <c r="B9" s="6">
        <f>B8*0.5</f>
        <v>210000</v>
      </c>
      <c r="C9" s="21">
        <v>8.7499999999999994E-2</v>
      </c>
      <c r="D9" s="8" t="s">
        <v>28</v>
      </c>
      <c r="E9" s="18"/>
      <c r="F9" s="14">
        <v>30</v>
      </c>
      <c r="H9" s="27" t="s">
        <v>29</v>
      </c>
      <c r="I9" s="35">
        <f>I8+DATE(2009,1,1)</f>
        <v>39989.199999999997</v>
      </c>
    </row>
    <row r="10" spans="1:9" ht="25.5" x14ac:dyDescent="0.2">
      <c r="A10" s="5" t="s">
        <v>30</v>
      </c>
      <c r="B10" s="13">
        <f>B2-(SUM(B5:B9))</f>
        <v>450000</v>
      </c>
      <c r="C10" s="36">
        <f>B10/B2</f>
        <v>0.1875</v>
      </c>
      <c r="D10" s="8" t="s">
        <v>31</v>
      </c>
      <c r="E10" s="18"/>
      <c r="F10" s="14">
        <v>60</v>
      </c>
      <c r="H10" s="29"/>
      <c r="I10" s="29"/>
    </row>
    <row r="11" spans="1:9" ht="25.5" x14ac:dyDescent="0.2">
      <c r="A11" s="15" t="s">
        <v>32</v>
      </c>
      <c r="B11" s="37"/>
      <c r="C11" s="38"/>
      <c r="D11" s="8" t="s">
        <v>33</v>
      </c>
      <c r="E11" s="18"/>
      <c r="F11" s="14">
        <v>45</v>
      </c>
      <c r="H11" s="145" t="s">
        <v>34</v>
      </c>
      <c r="I11" s="145"/>
    </row>
    <row r="12" spans="1:9" x14ac:dyDescent="0.2">
      <c r="A12" s="8" t="s">
        <v>35</v>
      </c>
      <c r="B12" s="6">
        <v>192000</v>
      </c>
      <c r="C12" s="36">
        <f>B12/B2</f>
        <v>0.08</v>
      </c>
      <c r="D12" s="8" t="s">
        <v>36</v>
      </c>
      <c r="E12" s="39">
        <v>0.19600000000000001</v>
      </c>
      <c r="F12" s="7"/>
      <c r="H12" s="40" t="s">
        <v>37</v>
      </c>
      <c r="I12" s="41">
        <v>2500</v>
      </c>
    </row>
    <row r="13" spans="1:9" x14ac:dyDescent="0.2">
      <c r="A13" s="8" t="s">
        <v>38</v>
      </c>
      <c r="B13" s="6">
        <v>24000</v>
      </c>
      <c r="C13" s="36">
        <f>B13/B2</f>
        <v>0.01</v>
      </c>
      <c r="D13" s="8" t="s">
        <v>39</v>
      </c>
      <c r="E13" s="18" t="s">
        <v>40</v>
      </c>
      <c r="F13" s="7"/>
      <c r="H13" s="40" t="s">
        <v>41</v>
      </c>
      <c r="I13" s="42">
        <f>B8</f>
        <v>420000</v>
      </c>
    </row>
    <row r="14" spans="1:9" ht="25.5" x14ac:dyDescent="0.2">
      <c r="A14" s="5" t="s">
        <v>42</v>
      </c>
      <c r="B14" s="13">
        <f>SUM(B5:B9)+B12+B13</f>
        <v>2166000</v>
      </c>
      <c r="C14" s="36">
        <f>B14/B2</f>
        <v>0.90249999999999997</v>
      </c>
      <c r="D14" s="8" t="s">
        <v>27</v>
      </c>
      <c r="E14" s="18" t="s">
        <v>43</v>
      </c>
      <c r="F14" s="7"/>
      <c r="H14" s="27" t="s">
        <v>34</v>
      </c>
      <c r="I14" s="43">
        <f>I13/(I12*12)</f>
        <v>14</v>
      </c>
    </row>
    <row r="15" spans="1:9" ht="25.5" x14ac:dyDescent="0.2">
      <c r="A15" s="44" t="s">
        <v>44</v>
      </c>
      <c r="B15" s="45">
        <f>B2-B14</f>
        <v>234000</v>
      </c>
      <c r="C15" s="46">
        <f>B15/B2</f>
        <v>9.7500000000000003E-2</v>
      </c>
      <c r="D15" s="47" t="s">
        <v>38</v>
      </c>
      <c r="E15" s="48" t="s">
        <v>45</v>
      </c>
      <c r="F15" s="49"/>
      <c r="H15" s="50" t="s">
        <v>46</v>
      </c>
      <c r="I15" s="51">
        <f>B2/I14</f>
        <v>171428.57142857142</v>
      </c>
    </row>
    <row r="16" spans="1:9" x14ac:dyDescent="0.2">
      <c r="A16" s="44" t="s">
        <v>47</v>
      </c>
      <c r="B16" s="45">
        <f>B15/3</f>
        <v>78000</v>
      </c>
      <c r="C16" s="46">
        <f>B16/B2</f>
        <v>3.2500000000000001E-2</v>
      </c>
    </row>
    <row r="17" spans="1:3" ht="25.5" x14ac:dyDescent="0.2">
      <c r="A17" s="52" t="s">
        <v>48</v>
      </c>
      <c r="B17" s="53">
        <f>B15-B16</f>
        <v>156000</v>
      </c>
      <c r="C17" s="54">
        <f>B17/B2</f>
        <v>6.5000000000000002E-2</v>
      </c>
    </row>
  </sheetData>
  <mergeCells count="2">
    <mergeCell ref="H1:I1"/>
    <mergeCell ref="H11:I11"/>
  </mergeCell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zoomScalePageLayoutView="60" workbookViewId="0">
      <selection activeCell="B2" sqref="B2"/>
    </sheetView>
  </sheetViews>
  <sheetFormatPr defaultColWidth="11.42578125" defaultRowHeight="12.75" x14ac:dyDescent="0.2"/>
  <cols>
    <col min="1" max="1" width="30"/>
    <col min="2" max="2" width="13.28515625"/>
    <col min="3" max="3" width="10.140625"/>
    <col min="4" max="4" width="17.5703125"/>
    <col min="5" max="5" width="32"/>
    <col min="6" max="6" width="22.42578125"/>
    <col min="7" max="7" width="23.85546875"/>
    <col min="8" max="8" width="10.7109375"/>
    <col min="9" max="9" width="32.7109375"/>
    <col min="10" max="10" width="13.140625"/>
    <col min="11" max="11" width="14.42578125"/>
    <col min="12" max="1025" width="10.7109375"/>
  </cols>
  <sheetData>
    <row r="1" spans="1:11" ht="26.25" customHeight="1" x14ac:dyDescent="0.2">
      <c r="A1" s="1" t="s">
        <v>0</v>
      </c>
      <c r="B1" s="2" t="s">
        <v>1</v>
      </c>
      <c r="C1" s="3" t="s">
        <v>2</v>
      </c>
      <c r="E1" s="4"/>
      <c r="F1" s="2" t="s">
        <v>3</v>
      </c>
      <c r="G1" s="3" t="s">
        <v>4</v>
      </c>
      <c r="I1" s="146" t="s">
        <v>49</v>
      </c>
      <c r="J1" s="146"/>
      <c r="K1" s="147"/>
    </row>
    <row r="2" spans="1:11" ht="25.5" x14ac:dyDescent="0.2">
      <c r="A2" s="5" t="s">
        <v>6</v>
      </c>
      <c r="B2" s="6">
        <v>2400000</v>
      </c>
      <c r="C2" s="7"/>
      <c r="D2" s="55"/>
      <c r="E2" s="8"/>
      <c r="F2" s="9"/>
      <c r="G2" s="10"/>
      <c r="H2" s="55"/>
      <c r="I2" s="56"/>
      <c r="J2" s="57" t="s">
        <v>50</v>
      </c>
      <c r="K2" s="58" t="s">
        <v>51</v>
      </c>
    </row>
    <row r="3" spans="1:11" x14ac:dyDescent="0.2">
      <c r="A3" s="5" t="s">
        <v>7</v>
      </c>
      <c r="B3" s="13"/>
      <c r="C3" s="7"/>
      <c r="E3" s="8" t="s">
        <v>8</v>
      </c>
      <c r="F3" s="18">
        <f>B5*G3/360</f>
        <v>80000</v>
      </c>
      <c r="G3" s="14">
        <v>30</v>
      </c>
      <c r="H3" s="55"/>
      <c r="I3" s="59" t="s">
        <v>52</v>
      </c>
      <c r="J3" s="37"/>
      <c r="K3" s="38"/>
    </row>
    <row r="4" spans="1:11" ht="25.5" x14ac:dyDescent="0.2">
      <c r="A4" s="15" t="s">
        <v>10</v>
      </c>
      <c r="B4" s="16">
        <f>SUM(B5:B9)</f>
        <v>1950000</v>
      </c>
      <c r="C4" s="17">
        <f>SUM(C5:C9)</f>
        <v>0.81250000000000011</v>
      </c>
      <c r="E4" s="8" t="s">
        <v>11</v>
      </c>
      <c r="F4" s="18" t="s">
        <v>12</v>
      </c>
      <c r="G4" s="14"/>
      <c r="H4" s="55"/>
      <c r="I4" s="60" t="s">
        <v>8</v>
      </c>
      <c r="J4" s="61">
        <f>B2*C5*G3/360</f>
        <v>80000</v>
      </c>
      <c r="K4" s="38"/>
    </row>
    <row r="5" spans="1:11" x14ac:dyDescent="0.2">
      <c r="A5" s="8" t="s">
        <v>14</v>
      </c>
      <c r="B5" s="20">
        <f>C5*B2</f>
        <v>960000</v>
      </c>
      <c r="C5" s="21">
        <v>0.4</v>
      </c>
      <c r="E5" s="22" t="s">
        <v>15</v>
      </c>
      <c r="F5" s="18">
        <f>B2*60/100*G5/360</f>
        <v>80000</v>
      </c>
      <c r="G5" s="23">
        <v>20</v>
      </c>
      <c r="H5" s="55"/>
      <c r="I5" s="60" t="s">
        <v>53</v>
      </c>
      <c r="J5" s="62">
        <f>B2*60/100*G5/360</f>
        <v>80000</v>
      </c>
      <c r="K5" s="38"/>
    </row>
    <row r="6" spans="1:11" x14ac:dyDescent="0.2">
      <c r="A6" s="8" t="s">
        <v>17</v>
      </c>
      <c r="B6" s="6">
        <f>C6*$B$2</f>
        <v>120000</v>
      </c>
      <c r="C6" s="21">
        <v>0.05</v>
      </c>
      <c r="E6" s="24" t="s">
        <v>18</v>
      </c>
      <c r="F6" s="25" t="s">
        <v>19</v>
      </c>
      <c r="G6" s="26"/>
      <c r="H6" s="55"/>
      <c r="I6" s="60" t="s">
        <v>22</v>
      </c>
      <c r="J6" s="62">
        <f>B2*80/100*G7/360</f>
        <v>53333.333333333336</v>
      </c>
      <c r="K6" s="38"/>
    </row>
    <row r="7" spans="1:11" x14ac:dyDescent="0.2">
      <c r="A7" s="8" t="s">
        <v>21</v>
      </c>
      <c r="B7" s="6">
        <f>C7*$B$2</f>
        <v>240000</v>
      </c>
      <c r="C7" s="21">
        <v>0.1</v>
      </c>
      <c r="E7" s="8" t="s">
        <v>22</v>
      </c>
      <c r="F7" s="18">
        <f>B2*80/100*G7/360</f>
        <v>53333.333333333336</v>
      </c>
      <c r="G7" s="14">
        <v>10</v>
      </c>
      <c r="H7" s="55"/>
      <c r="I7" s="5" t="s">
        <v>54</v>
      </c>
      <c r="J7" s="62">
        <f>B2*(1+F12)*G9/360</f>
        <v>239200</v>
      </c>
      <c r="K7" s="38"/>
    </row>
    <row r="8" spans="1:11" x14ac:dyDescent="0.2">
      <c r="A8" s="8" t="s">
        <v>23</v>
      </c>
      <c r="B8" s="6">
        <f>C8*B2</f>
        <v>420000</v>
      </c>
      <c r="C8" s="21">
        <v>0.17499999999999999</v>
      </c>
      <c r="E8" s="30" t="s">
        <v>24</v>
      </c>
      <c r="F8" s="31" t="s">
        <v>25</v>
      </c>
      <c r="G8" s="32"/>
      <c r="H8" s="55"/>
      <c r="I8" s="5" t="s">
        <v>55</v>
      </c>
      <c r="J8" s="62"/>
      <c r="K8" s="38"/>
    </row>
    <row r="9" spans="1:11" ht="25.5" x14ac:dyDescent="0.2">
      <c r="A9" s="8" t="s">
        <v>27</v>
      </c>
      <c r="B9" s="6">
        <f>B8*0.5</f>
        <v>210000</v>
      </c>
      <c r="C9" s="21">
        <v>8.7499999999999994E-2</v>
      </c>
      <c r="E9" s="8" t="s">
        <v>28</v>
      </c>
      <c r="F9" s="18">
        <f>B2*G9/360</f>
        <v>200000</v>
      </c>
      <c r="G9" s="14">
        <v>30</v>
      </c>
      <c r="H9" s="55"/>
      <c r="I9" s="63" t="s">
        <v>56</v>
      </c>
      <c r="J9" s="37"/>
      <c r="K9" s="64">
        <f>B5*G10*(1+F12)/360</f>
        <v>191360</v>
      </c>
    </row>
    <row r="10" spans="1:11" ht="38.25" x14ac:dyDescent="0.2">
      <c r="A10" s="5" t="s">
        <v>30</v>
      </c>
      <c r="B10" s="13">
        <f>B2-(SUM(B5:B9))</f>
        <v>450000</v>
      </c>
      <c r="C10" s="36">
        <f>B10/$B$2</f>
        <v>0.1875</v>
      </c>
      <c r="E10" s="8" t="s">
        <v>31</v>
      </c>
      <c r="F10" s="18">
        <f>B5*G10/360</f>
        <v>160000</v>
      </c>
      <c r="G10" s="14">
        <v>60</v>
      </c>
      <c r="H10" s="55"/>
      <c r="I10" s="63" t="s">
        <v>57</v>
      </c>
      <c r="J10" s="37"/>
      <c r="K10" s="65">
        <f>B6*G11*(1+F12)/360</f>
        <v>17940</v>
      </c>
    </row>
    <row r="11" spans="1:11" ht="25.5" x14ac:dyDescent="0.2">
      <c r="A11" s="15" t="s">
        <v>32</v>
      </c>
      <c r="B11" s="37"/>
      <c r="C11" s="38"/>
      <c r="E11" s="8" t="s">
        <v>33</v>
      </c>
      <c r="F11" s="18">
        <f>B6*G11/360</f>
        <v>15000</v>
      </c>
      <c r="G11" s="14">
        <v>45</v>
      </c>
      <c r="H11" s="55"/>
      <c r="I11" s="63" t="s">
        <v>58</v>
      </c>
      <c r="J11" s="37"/>
      <c r="K11" s="65">
        <f>B7*G11*(1+F12)/360</f>
        <v>35880</v>
      </c>
    </row>
    <row r="12" spans="1:11" x14ac:dyDescent="0.2">
      <c r="A12" s="8" t="s">
        <v>35</v>
      </c>
      <c r="B12" s="6">
        <v>192000</v>
      </c>
      <c r="C12" s="36">
        <f>B12/$B$2</f>
        <v>0.08</v>
      </c>
      <c r="E12" s="8" t="s">
        <v>36</v>
      </c>
      <c r="F12" s="39">
        <v>0.19600000000000001</v>
      </c>
      <c r="G12" s="7"/>
      <c r="H12" s="55"/>
      <c r="I12" s="66"/>
      <c r="J12" s="62"/>
      <c r="K12" s="38"/>
    </row>
    <row r="13" spans="1:11" x14ac:dyDescent="0.2">
      <c r="A13" s="8" t="s">
        <v>38</v>
      </c>
      <c r="B13" s="6">
        <v>24000</v>
      </c>
      <c r="C13" s="36">
        <f>B13/$B$2</f>
        <v>0.01</v>
      </c>
      <c r="E13" s="8" t="s">
        <v>39</v>
      </c>
      <c r="F13" s="18" t="s">
        <v>40</v>
      </c>
      <c r="G13" s="7"/>
      <c r="H13" s="55"/>
      <c r="I13" s="60" t="s">
        <v>59</v>
      </c>
      <c r="J13" s="67">
        <f>F12*(SUM(B5:B7))*35/360</f>
        <v>25153.333333333332</v>
      </c>
      <c r="K13" s="38"/>
    </row>
    <row r="14" spans="1:11" ht="25.5" x14ac:dyDescent="0.2">
      <c r="A14" s="5" t="s">
        <v>42</v>
      </c>
      <c r="B14" s="13">
        <f>SUM(B5:B9)+B12+B13</f>
        <v>2166000</v>
      </c>
      <c r="C14" s="36">
        <f>B14/$B$2</f>
        <v>0.90249999999999997</v>
      </c>
      <c r="E14" s="8" t="s">
        <v>27</v>
      </c>
      <c r="F14" s="18" t="s">
        <v>43</v>
      </c>
      <c r="G14" s="7"/>
      <c r="H14" s="55"/>
      <c r="I14" s="63" t="s">
        <v>60</v>
      </c>
      <c r="J14" s="37"/>
      <c r="K14" s="70">
        <f>B2*F12*35/360</f>
        <v>45733.333333333336</v>
      </c>
    </row>
    <row r="15" spans="1:11" ht="26.25" thickBot="1" x14ac:dyDescent="0.25">
      <c r="A15" s="44" t="s">
        <v>44</v>
      </c>
      <c r="B15" s="45">
        <f>B2-B14</f>
        <v>234000</v>
      </c>
      <c r="C15" s="46">
        <f>B15/B2</f>
        <v>9.7500000000000003E-2</v>
      </c>
      <c r="D15" s="77"/>
      <c r="E15" s="47" t="s">
        <v>38</v>
      </c>
      <c r="F15" s="48" t="s">
        <v>45</v>
      </c>
      <c r="G15" s="49"/>
      <c r="H15" s="55"/>
      <c r="I15" s="66"/>
      <c r="J15" s="69"/>
      <c r="K15" s="38"/>
    </row>
    <row r="16" spans="1:11" x14ac:dyDescent="0.2">
      <c r="A16" s="44" t="s">
        <v>47</v>
      </c>
      <c r="B16" s="45">
        <f>B15/3</f>
        <v>78000</v>
      </c>
      <c r="C16" s="46">
        <f>B16/B2</f>
        <v>3.2500000000000001E-2</v>
      </c>
      <c r="H16" s="55"/>
      <c r="I16" s="40" t="s">
        <v>61</v>
      </c>
      <c r="J16" s="37"/>
      <c r="K16" s="70">
        <f>(B9*90)/360</f>
        <v>52500</v>
      </c>
    </row>
    <row r="17" spans="1:11" ht="26.25" thickBot="1" x14ac:dyDescent="0.25">
      <c r="A17" s="52" t="s">
        <v>48</v>
      </c>
      <c r="B17" s="53">
        <f>B15-B16</f>
        <v>156000</v>
      </c>
      <c r="C17" s="54">
        <f>B17/B2</f>
        <v>6.5000000000000002E-2</v>
      </c>
      <c r="E17" s="55"/>
      <c r="F17" s="55"/>
      <c r="G17" s="55"/>
      <c r="H17" s="55"/>
      <c r="I17" s="40" t="s">
        <v>62</v>
      </c>
      <c r="J17" s="37"/>
      <c r="K17" s="71">
        <f>B16</f>
        <v>78000</v>
      </c>
    </row>
    <row r="18" spans="1:11" ht="12.75" customHeight="1" x14ac:dyDescent="0.2">
      <c r="A18" s="72"/>
      <c r="B18" s="72"/>
      <c r="C18" s="72"/>
      <c r="E18" s="146" t="s">
        <v>63</v>
      </c>
      <c r="F18" s="147"/>
      <c r="H18" s="55"/>
      <c r="I18" s="73"/>
      <c r="J18" s="69"/>
      <c r="K18" s="38"/>
    </row>
    <row r="19" spans="1:11" x14ac:dyDescent="0.2">
      <c r="A19" s="55" t="s">
        <v>34</v>
      </c>
      <c r="B19" s="55"/>
      <c r="C19" s="74"/>
      <c r="E19" s="30" t="s">
        <v>52</v>
      </c>
      <c r="F19" s="70">
        <f>F3+F5+F7</f>
        <v>213333.33333333334</v>
      </c>
      <c r="H19" s="55"/>
      <c r="I19" s="40" t="s">
        <v>64</v>
      </c>
      <c r="J19" s="37"/>
      <c r="K19" s="70">
        <f>B13*90/360</f>
        <v>6000</v>
      </c>
    </row>
    <row r="20" spans="1:11" x14ac:dyDescent="0.2">
      <c r="A20" s="55" t="s">
        <v>65</v>
      </c>
      <c r="B20" s="75"/>
      <c r="C20" s="76"/>
      <c r="E20" s="30" t="s">
        <v>66</v>
      </c>
      <c r="F20" s="70">
        <f>F9</f>
        <v>200000</v>
      </c>
      <c r="I20" s="40" t="s">
        <v>67</v>
      </c>
      <c r="J20" s="69">
        <f>SUM(J4:J19)</f>
        <v>477686.66666666669</v>
      </c>
      <c r="K20" s="70">
        <f>SUM(K4:K19)</f>
        <v>427413.33333333331</v>
      </c>
    </row>
    <row r="21" spans="1:11" x14ac:dyDescent="0.2">
      <c r="A21" s="55" t="s">
        <v>68</v>
      </c>
      <c r="B21" s="55"/>
      <c r="C21" s="77"/>
      <c r="E21" s="30" t="s">
        <v>69</v>
      </c>
      <c r="F21" s="70">
        <f>F10+F11</f>
        <v>175000</v>
      </c>
      <c r="I21" s="78" t="s">
        <v>70</v>
      </c>
      <c r="J21" s="148">
        <f>J20-K20</f>
        <v>50273.333333333372</v>
      </c>
      <c r="K21" s="149"/>
    </row>
    <row r="22" spans="1:11" x14ac:dyDescent="0.2">
      <c r="A22" s="55" t="s">
        <v>71</v>
      </c>
      <c r="B22" s="55"/>
      <c r="E22" s="126" t="s">
        <v>72</v>
      </c>
      <c r="F22" s="127">
        <f>F19+F20-F21</f>
        <v>238333.33333333337</v>
      </c>
      <c r="I22" s="78" t="s">
        <v>73</v>
      </c>
      <c r="J22" s="150">
        <f>J21/B2</f>
        <v>2.0947222222222239E-2</v>
      </c>
      <c r="K22" s="151"/>
    </row>
    <row r="23" spans="1:11" ht="13.5" thickBot="1" x14ac:dyDescent="0.25">
      <c r="E23" s="125" t="s">
        <v>138</v>
      </c>
      <c r="F23" s="129">
        <f>F22*360/B2</f>
        <v>35.750000000000007</v>
      </c>
      <c r="I23" s="130" t="s">
        <v>138</v>
      </c>
      <c r="J23" s="152">
        <f>J21*360/B2</f>
        <v>7.5410000000000066</v>
      </c>
      <c r="K23" s="153"/>
    </row>
    <row r="24" spans="1:11" ht="13.5" thickBot="1" x14ac:dyDescent="0.25">
      <c r="E24" s="128" t="s">
        <v>139</v>
      </c>
      <c r="F24" s="131">
        <f>F22/B2</f>
        <v>9.9305555555555577E-2</v>
      </c>
    </row>
  </sheetData>
  <mergeCells count="5">
    <mergeCell ref="I1:K1"/>
    <mergeCell ref="E18:F18"/>
    <mergeCell ref="J21:K21"/>
    <mergeCell ref="J22:K22"/>
    <mergeCell ref="J23:K23"/>
  </mergeCells>
  <printOptions headings="1" gridLines="1"/>
  <pageMargins left="0.78749999999999998" right="0.78749999999999998" top="0.98402777777777795" bottom="0.98402777777777795" header="0.51180555555555496" footer="0.51180555555555496"/>
  <pageSetup paperSize="9" firstPageNumber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zoomScalePageLayoutView="60" workbookViewId="0">
      <selection activeCell="J21" sqref="J21:K21"/>
    </sheetView>
  </sheetViews>
  <sheetFormatPr defaultColWidth="11.42578125" defaultRowHeight="12.75" x14ac:dyDescent="0.2"/>
  <cols>
    <col min="1" max="1" width="29.140625" customWidth="1"/>
    <col min="2" max="2" width="10.140625" customWidth="1"/>
    <col min="3" max="3" width="11.28515625" bestFit="1" customWidth="1"/>
    <col min="4" max="4" width="12.85546875" customWidth="1"/>
    <col min="5" max="5" width="29.85546875" customWidth="1"/>
    <col min="6" max="6" width="22.28515625" customWidth="1"/>
    <col min="7" max="7" width="26.140625" customWidth="1"/>
    <col min="9" max="9" width="31.85546875" customWidth="1"/>
  </cols>
  <sheetData>
    <row r="1" spans="1:11" ht="25.5" x14ac:dyDescent="0.2">
      <c r="A1" s="1" t="s">
        <v>0</v>
      </c>
      <c r="B1" s="2" t="s">
        <v>1</v>
      </c>
      <c r="C1" s="3" t="s">
        <v>2</v>
      </c>
      <c r="E1" s="4"/>
      <c r="F1" s="2" t="s">
        <v>3</v>
      </c>
      <c r="G1" s="3" t="s">
        <v>4</v>
      </c>
      <c r="I1" s="146" t="s">
        <v>49</v>
      </c>
      <c r="J1" s="146"/>
      <c r="K1" s="147"/>
    </row>
    <row r="2" spans="1:11" ht="25.5" x14ac:dyDescent="0.2">
      <c r="A2" s="5" t="s">
        <v>6</v>
      </c>
      <c r="B2" s="6">
        <v>2800000</v>
      </c>
      <c r="C2" s="7"/>
      <c r="D2" s="55"/>
      <c r="E2" s="8"/>
      <c r="F2" s="9"/>
      <c r="G2" s="10"/>
      <c r="H2" s="55"/>
      <c r="I2" s="56"/>
      <c r="J2" s="57" t="s">
        <v>50</v>
      </c>
      <c r="K2" s="58" t="s">
        <v>51</v>
      </c>
    </row>
    <row r="3" spans="1:11" x14ac:dyDescent="0.2">
      <c r="A3" s="5" t="s">
        <v>7</v>
      </c>
      <c r="B3" s="13"/>
      <c r="C3" s="7"/>
      <c r="E3" s="8" t="s">
        <v>8</v>
      </c>
      <c r="F3" s="18">
        <f>B5*G3/360</f>
        <v>93333.333333333328</v>
      </c>
      <c r="G3" s="14">
        <v>30</v>
      </c>
      <c r="H3" s="55"/>
      <c r="I3" s="59" t="s">
        <v>52</v>
      </c>
      <c r="J3" s="37"/>
      <c r="K3" s="38"/>
    </row>
    <row r="4" spans="1:11" ht="25.5" x14ac:dyDescent="0.2">
      <c r="A4" s="15" t="s">
        <v>10</v>
      </c>
      <c r="B4" s="16">
        <f>SUM(B5:B9)</f>
        <v>2275000</v>
      </c>
      <c r="C4" s="17">
        <f>SUM(C5:C9)</f>
        <v>0.81250000000000011</v>
      </c>
      <c r="E4" s="8" t="s">
        <v>11</v>
      </c>
      <c r="F4" s="18" t="s">
        <v>12</v>
      </c>
      <c r="G4" s="14"/>
      <c r="H4" s="55"/>
      <c r="I4" s="60" t="s">
        <v>8</v>
      </c>
      <c r="J4" s="61">
        <f>B2*C5*G3/360</f>
        <v>93333.333333333328</v>
      </c>
      <c r="K4" s="38"/>
    </row>
    <row r="5" spans="1:11" x14ac:dyDescent="0.2">
      <c r="A5" s="8" t="s">
        <v>14</v>
      </c>
      <c r="B5" s="20">
        <f>C5*B2</f>
        <v>1120000</v>
      </c>
      <c r="C5" s="21">
        <v>0.4</v>
      </c>
      <c r="E5" s="30" t="s">
        <v>15</v>
      </c>
      <c r="F5" s="18">
        <f>B2*60/100*G5/360</f>
        <v>93333.333333333328</v>
      </c>
      <c r="G5" s="23">
        <v>20</v>
      </c>
      <c r="H5" s="55"/>
      <c r="I5" s="60" t="s">
        <v>53</v>
      </c>
      <c r="J5" s="62">
        <f>B2*60/100*G5/360</f>
        <v>93333.333333333328</v>
      </c>
      <c r="K5" s="38"/>
    </row>
    <row r="6" spans="1:11" ht="12.75" customHeight="1" x14ac:dyDescent="0.2">
      <c r="A6" s="8" t="s">
        <v>17</v>
      </c>
      <c r="B6" s="6">
        <f>C6*$B$2</f>
        <v>140000</v>
      </c>
      <c r="C6" s="21">
        <v>0.05</v>
      </c>
      <c r="E6" s="24" t="s">
        <v>18</v>
      </c>
      <c r="F6" s="25" t="s">
        <v>19</v>
      </c>
      <c r="G6" s="26"/>
      <c r="H6" s="55"/>
      <c r="I6" s="60" t="s">
        <v>22</v>
      </c>
      <c r="J6" s="62">
        <f>B2*80/100*G7/360</f>
        <v>62222.222222222219</v>
      </c>
      <c r="K6" s="38"/>
    </row>
    <row r="7" spans="1:11" x14ac:dyDescent="0.2">
      <c r="A7" s="8" t="s">
        <v>21</v>
      </c>
      <c r="B7" s="6">
        <f>C7*$B$2</f>
        <v>280000</v>
      </c>
      <c r="C7" s="21">
        <v>0.1</v>
      </c>
      <c r="E7" s="8" t="s">
        <v>22</v>
      </c>
      <c r="F7" s="18">
        <f>B2*80/100*G7/360</f>
        <v>62222.222222222219</v>
      </c>
      <c r="G7" s="14">
        <v>10</v>
      </c>
      <c r="H7" s="55"/>
      <c r="I7" s="5" t="s">
        <v>54</v>
      </c>
      <c r="J7" s="62">
        <f>B2*(1+F12)*G9/360</f>
        <v>279066.66666666669</v>
      </c>
      <c r="K7" s="38"/>
    </row>
    <row r="8" spans="1:11" x14ac:dyDescent="0.2">
      <c r="A8" s="8" t="s">
        <v>23</v>
      </c>
      <c r="B8" s="6">
        <f>C8*B2</f>
        <v>489999.99999999994</v>
      </c>
      <c r="C8" s="21">
        <v>0.17499999999999999</v>
      </c>
      <c r="E8" s="30" t="s">
        <v>24</v>
      </c>
      <c r="F8" s="31" t="s">
        <v>25</v>
      </c>
      <c r="G8" s="32"/>
      <c r="H8" s="55"/>
      <c r="I8" s="5" t="s">
        <v>55</v>
      </c>
      <c r="J8" s="62"/>
      <c r="K8" s="38"/>
    </row>
    <row r="9" spans="1:11" ht="25.5" x14ac:dyDescent="0.2">
      <c r="A9" s="8" t="s">
        <v>27</v>
      </c>
      <c r="B9" s="6">
        <f>B8*0.5</f>
        <v>244999.99999999997</v>
      </c>
      <c r="C9" s="21">
        <v>8.7499999999999994E-2</v>
      </c>
      <c r="E9" s="8" t="s">
        <v>28</v>
      </c>
      <c r="F9" s="18">
        <f>B2*G9/360</f>
        <v>233333.33333333334</v>
      </c>
      <c r="G9" s="14">
        <v>30</v>
      </c>
      <c r="H9" s="55"/>
      <c r="I9" s="63" t="s">
        <v>56</v>
      </c>
      <c r="J9" s="37"/>
      <c r="K9" s="64">
        <f>B5*G10*(1+F12)/360</f>
        <v>223253.33333333334</v>
      </c>
    </row>
    <row r="10" spans="1:11" ht="38.25" x14ac:dyDescent="0.2">
      <c r="A10" s="5" t="s">
        <v>30</v>
      </c>
      <c r="B10" s="13">
        <f>B2-(SUM(B5:B9))</f>
        <v>525000</v>
      </c>
      <c r="C10" s="36">
        <f>B10/$B$2</f>
        <v>0.1875</v>
      </c>
      <c r="E10" s="8" t="s">
        <v>31</v>
      </c>
      <c r="F10" s="18">
        <f>B5*G10/360</f>
        <v>186666.66666666666</v>
      </c>
      <c r="G10" s="14">
        <v>60</v>
      </c>
      <c r="H10" s="55"/>
      <c r="I10" s="63" t="s">
        <v>57</v>
      </c>
      <c r="J10" s="37"/>
      <c r="K10" s="65">
        <f>B6*G11*(1+F12)/360</f>
        <v>20930</v>
      </c>
    </row>
    <row r="11" spans="1:11" ht="25.5" x14ac:dyDescent="0.2">
      <c r="A11" s="15" t="s">
        <v>32</v>
      </c>
      <c r="B11" s="37"/>
      <c r="C11" s="38"/>
      <c r="E11" s="8" t="s">
        <v>33</v>
      </c>
      <c r="F11" s="18">
        <f>B6*G11/360</f>
        <v>17500</v>
      </c>
      <c r="G11" s="14">
        <v>45</v>
      </c>
      <c r="H11" s="55"/>
      <c r="I11" s="63" t="s">
        <v>58</v>
      </c>
      <c r="J11" s="37"/>
      <c r="K11" s="65">
        <f>B7*G11*(1+F12)/360</f>
        <v>41860</v>
      </c>
    </row>
    <row r="12" spans="1:11" x14ac:dyDescent="0.2">
      <c r="A12" s="8" t="s">
        <v>35</v>
      </c>
      <c r="B12" s="6">
        <v>192000</v>
      </c>
      <c r="C12" s="36">
        <f>B12/$B$2</f>
        <v>6.8571428571428575E-2</v>
      </c>
      <c r="E12" s="8" t="s">
        <v>36</v>
      </c>
      <c r="F12" s="39">
        <v>0.19600000000000001</v>
      </c>
      <c r="G12" s="7"/>
      <c r="H12" s="55"/>
      <c r="I12" s="66"/>
      <c r="J12" s="62"/>
      <c r="K12" s="38"/>
    </row>
    <row r="13" spans="1:11" x14ac:dyDescent="0.2">
      <c r="A13" s="8" t="s">
        <v>38</v>
      </c>
      <c r="B13" s="6">
        <v>24000</v>
      </c>
      <c r="C13" s="36">
        <f>B13/$B$2</f>
        <v>8.5714285714285719E-3</v>
      </c>
      <c r="E13" s="8" t="s">
        <v>23</v>
      </c>
      <c r="F13" s="18" t="s">
        <v>40</v>
      </c>
      <c r="G13" s="7"/>
      <c r="H13" s="55"/>
      <c r="I13" s="60" t="s">
        <v>59</v>
      </c>
      <c r="J13" s="67">
        <f>F12*(SUM(B5:B7))*35/360</f>
        <v>29345.555555555555</v>
      </c>
      <c r="K13" s="38"/>
    </row>
    <row r="14" spans="1:11" ht="25.5" x14ac:dyDescent="0.2">
      <c r="A14" s="5" t="s">
        <v>42</v>
      </c>
      <c r="B14" s="13">
        <f>SUM(B5:B9)+B12+B13</f>
        <v>2491000</v>
      </c>
      <c r="C14" s="36">
        <f>B14/$B$2</f>
        <v>0.88964285714285718</v>
      </c>
      <c r="E14" s="8" t="s">
        <v>27</v>
      </c>
      <c r="F14" s="18" t="s">
        <v>43</v>
      </c>
      <c r="G14" s="7"/>
      <c r="H14" s="55"/>
      <c r="I14" s="63" t="s">
        <v>60</v>
      </c>
      <c r="J14" s="37"/>
      <c r="K14" s="70">
        <f>B2*F12*35/360</f>
        <v>53355.555555555555</v>
      </c>
    </row>
    <row r="15" spans="1:11" ht="26.25" thickBot="1" x14ac:dyDescent="0.25">
      <c r="A15" s="44" t="s">
        <v>44</v>
      </c>
      <c r="B15" s="45">
        <f>B2-B14</f>
        <v>309000</v>
      </c>
      <c r="C15" s="46">
        <f>B15/B2</f>
        <v>0.11035714285714286</v>
      </c>
      <c r="D15" s="77"/>
      <c r="E15" s="47" t="s">
        <v>38</v>
      </c>
      <c r="F15" s="48" t="s">
        <v>45</v>
      </c>
      <c r="G15" s="49"/>
      <c r="H15" s="55"/>
      <c r="I15" s="66"/>
      <c r="J15" s="69"/>
      <c r="K15" s="38"/>
    </row>
    <row r="16" spans="1:11" x14ac:dyDescent="0.2">
      <c r="A16" s="44" t="s">
        <v>47</v>
      </c>
      <c r="B16" s="45">
        <f>B15/3</f>
        <v>103000</v>
      </c>
      <c r="C16" s="46">
        <f>B16/B2</f>
        <v>3.6785714285714283E-2</v>
      </c>
      <c r="H16" s="55"/>
      <c r="I16" s="40" t="s">
        <v>61</v>
      </c>
      <c r="J16" s="37"/>
      <c r="K16" s="70">
        <f>(B9*90)/360</f>
        <v>61249.999999999993</v>
      </c>
    </row>
    <row r="17" spans="1:11" ht="26.25" thickBot="1" x14ac:dyDescent="0.25">
      <c r="A17" s="52" t="s">
        <v>48</v>
      </c>
      <c r="B17" s="53">
        <f>B15-B16</f>
        <v>206000</v>
      </c>
      <c r="C17" s="54">
        <f>B17/B2</f>
        <v>7.3571428571428565E-2</v>
      </c>
      <c r="E17" s="55"/>
      <c r="F17" s="55"/>
      <c r="G17" s="55"/>
      <c r="H17" s="55"/>
      <c r="I17" s="40" t="s">
        <v>62</v>
      </c>
      <c r="J17" s="37"/>
      <c r="K17" s="71">
        <f>B16</f>
        <v>103000</v>
      </c>
    </row>
    <row r="18" spans="1:11" ht="12.75" customHeight="1" x14ac:dyDescent="0.2">
      <c r="A18" s="72"/>
      <c r="B18" s="72"/>
      <c r="C18" s="72"/>
      <c r="E18" s="146" t="s">
        <v>63</v>
      </c>
      <c r="F18" s="147"/>
      <c r="H18" s="55"/>
      <c r="I18" s="73"/>
      <c r="J18" s="69"/>
      <c r="K18" s="38"/>
    </row>
    <row r="19" spans="1:11" x14ac:dyDescent="0.2">
      <c r="A19" s="55" t="s">
        <v>34</v>
      </c>
      <c r="B19" s="55"/>
      <c r="C19" s="74"/>
      <c r="E19" s="30" t="s">
        <v>52</v>
      </c>
      <c r="F19" s="70">
        <f>F3+F5+F7</f>
        <v>248888.88888888888</v>
      </c>
      <c r="H19" s="55"/>
      <c r="I19" s="40" t="s">
        <v>64</v>
      </c>
      <c r="J19" s="37"/>
      <c r="K19" s="70">
        <f>B13*90/360</f>
        <v>6000</v>
      </c>
    </row>
    <row r="20" spans="1:11" ht="12.75" customHeight="1" x14ac:dyDescent="0.2">
      <c r="A20" s="55" t="s">
        <v>65</v>
      </c>
      <c r="B20" s="75"/>
      <c r="C20" s="76"/>
      <c r="E20" s="30" t="s">
        <v>66</v>
      </c>
      <c r="F20" s="70">
        <f>F9</f>
        <v>233333.33333333334</v>
      </c>
      <c r="I20" s="40" t="s">
        <v>67</v>
      </c>
      <c r="J20" s="69">
        <f>SUM(J4:J19)</f>
        <v>557301.11111111101</v>
      </c>
      <c r="K20" s="70">
        <f>SUM(K4:K19)</f>
        <v>509648.88888888893</v>
      </c>
    </row>
    <row r="21" spans="1:11" x14ac:dyDescent="0.2">
      <c r="A21" s="55" t="s">
        <v>68</v>
      </c>
      <c r="B21" s="55"/>
      <c r="C21" s="77"/>
      <c r="E21" s="30" t="s">
        <v>69</v>
      </c>
      <c r="F21" s="70">
        <f>F10+F11</f>
        <v>204166.66666666666</v>
      </c>
      <c r="I21" s="78" t="s">
        <v>70</v>
      </c>
      <c r="J21" s="148">
        <f>J20-K20</f>
        <v>47652.222222222073</v>
      </c>
      <c r="K21" s="149"/>
    </row>
    <row r="22" spans="1:11" ht="12" customHeight="1" x14ac:dyDescent="0.2">
      <c r="A22" s="55" t="s">
        <v>71</v>
      </c>
      <c r="B22" s="55"/>
      <c r="E22" s="126" t="s">
        <v>72</v>
      </c>
      <c r="F22" s="127">
        <f>F19+F20-F21</f>
        <v>278055.55555555562</v>
      </c>
      <c r="I22" s="78" t="s">
        <v>73</v>
      </c>
      <c r="J22" s="150">
        <f>J21/B2</f>
        <v>1.7018650793650742E-2</v>
      </c>
      <c r="K22" s="151"/>
    </row>
    <row r="23" spans="1:11" ht="13.5" thickBot="1" x14ac:dyDescent="0.25">
      <c r="E23" s="125" t="s">
        <v>138</v>
      </c>
      <c r="F23" s="129">
        <f>F22*360/B2</f>
        <v>35.750000000000007</v>
      </c>
      <c r="I23" s="130" t="s">
        <v>138</v>
      </c>
      <c r="J23" s="152">
        <f>J21*360/B2</f>
        <v>6.1267142857142671</v>
      </c>
      <c r="K23" s="153"/>
    </row>
    <row r="24" spans="1:11" ht="13.5" thickBot="1" x14ac:dyDescent="0.25">
      <c r="E24" s="128" t="s">
        <v>139</v>
      </c>
      <c r="F24" s="131">
        <f>F22/B2</f>
        <v>9.9305555555555577E-2</v>
      </c>
    </row>
  </sheetData>
  <mergeCells count="5">
    <mergeCell ref="I1:K1"/>
    <mergeCell ref="E18:F18"/>
    <mergeCell ref="J21:K21"/>
    <mergeCell ref="J22:K22"/>
    <mergeCell ref="J23:K23"/>
  </mergeCells>
  <printOptions headings="1" gridLines="1"/>
  <pageMargins left="0.78749999999999998" right="0.78749999999999998" top="0.98402777777777795" bottom="0.98402777777777795" header="0.51180555555555496" footer="0.51180555555555496"/>
  <pageSetup paperSize="9" firstPageNumber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zoomScalePageLayoutView="60" workbookViewId="0">
      <selection activeCell="G10" sqref="G10"/>
    </sheetView>
  </sheetViews>
  <sheetFormatPr defaultColWidth="11.42578125" defaultRowHeight="12.75" x14ac:dyDescent="0.2"/>
  <cols>
    <col min="1" max="1" width="29.140625" customWidth="1"/>
    <col min="2" max="2" width="10.140625" customWidth="1"/>
    <col min="3" max="3" width="11.28515625" bestFit="1" customWidth="1"/>
    <col min="4" max="4" width="12.85546875" customWidth="1"/>
    <col min="5" max="5" width="29.85546875" customWidth="1"/>
    <col min="6" max="6" width="25" customWidth="1"/>
    <col min="7" max="7" width="26" customWidth="1"/>
    <col min="9" max="9" width="31.85546875" customWidth="1"/>
  </cols>
  <sheetData>
    <row r="1" spans="1:11" ht="25.5" x14ac:dyDescent="0.2">
      <c r="A1" s="1" t="s">
        <v>0</v>
      </c>
      <c r="B1" s="2" t="s">
        <v>1</v>
      </c>
      <c r="C1" s="3" t="s">
        <v>2</v>
      </c>
      <c r="E1" s="4"/>
      <c r="F1" s="2" t="s">
        <v>3</v>
      </c>
      <c r="G1" s="3" t="s">
        <v>4</v>
      </c>
      <c r="I1" s="146" t="s">
        <v>49</v>
      </c>
      <c r="J1" s="146"/>
      <c r="K1" s="147"/>
    </row>
    <row r="2" spans="1:11" ht="25.5" x14ac:dyDescent="0.2">
      <c r="A2" s="5" t="s">
        <v>6</v>
      </c>
      <c r="B2" s="6">
        <v>2800000</v>
      </c>
      <c r="C2" s="7"/>
      <c r="D2" s="55"/>
      <c r="E2" s="8"/>
      <c r="F2" s="9"/>
      <c r="G2" s="10"/>
      <c r="H2" s="55"/>
      <c r="I2" s="56"/>
      <c r="J2" s="57" t="s">
        <v>50</v>
      </c>
      <c r="K2" s="58" t="s">
        <v>51</v>
      </c>
    </row>
    <row r="3" spans="1:11" x14ac:dyDescent="0.2">
      <c r="A3" s="5" t="s">
        <v>7</v>
      </c>
      <c r="B3" s="13"/>
      <c r="C3" s="7"/>
      <c r="E3" s="8" t="s">
        <v>8</v>
      </c>
      <c r="F3" s="18">
        <f>B5*G3/360</f>
        <v>93333.333333333328</v>
      </c>
      <c r="G3" s="14">
        <v>30</v>
      </c>
      <c r="H3" s="55"/>
      <c r="I3" s="59" t="s">
        <v>52</v>
      </c>
      <c r="J3" s="37"/>
      <c r="K3" s="38"/>
    </row>
    <row r="4" spans="1:11" ht="25.5" x14ac:dyDescent="0.2">
      <c r="A4" s="15" t="s">
        <v>10</v>
      </c>
      <c r="B4" s="16">
        <f>SUM(B5:B9)</f>
        <v>2275000</v>
      </c>
      <c r="C4" s="17">
        <f>SUM(C5:C9)</f>
        <v>0.81250000000000011</v>
      </c>
      <c r="E4" s="8" t="s">
        <v>11</v>
      </c>
      <c r="F4" s="18" t="s">
        <v>12</v>
      </c>
      <c r="G4" s="14"/>
      <c r="H4" s="55"/>
      <c r="I4" s="60" t="s">
        <v>8</v>
      </c>
      <c r="J4" s="61">
        <f>B2*C5*G3/360</f>
        <v>93333.333333333328</v>
      </c>
      <c r="K4" s="38"/>
    </row>
    <row r="5" spans="1:11" x14ac:dyDescent="0.2">
      <c r="A5" s="8" t="s">
        <v>14</v>
      </c>
      <c r="B5" s="20">
        <f>C5*B2</f>
        <v>1120000</v>
      </c>
      <c r="C5" s="21">
        <v>0.4</v>
      </c>
      <c r="E5" s="30" t="s">
        <v>15</v>
      </c>
      <c r="F5" s="18">
        <f>B2*60/100*G5/360</f>
        <v>93333.333333333328</v>
      </c>
      <c r="G5" s="23">
        <v>20</v>
      </c>
      <c r="H5" s="55"/>
      <c r="I5" s="60" t="s">
        <v>53</v>
      </c>
      <c r="J5" s="62">
        <f>B2*60/100*G5/360</f>
        <v>93333.333333333328</v>
      </c>
      <c r="K5" s="38"/>
    </row>
    <row r="6" spans="1:11" ht="12.75" customHeight="1" x14ac:dyDescent="0.2">
      <c r="A6" s="8" t="s">
        <v>17</v>
      </c>
      <c r="B6" s="6">
        <f>C6*$B$2</f>
        <v>140000</v>
      </c>
      <c r="C6" s="21">
        <v>0.05</v>
      </c>
      <c r="E6" s="24" t="s">
        <v>18</v>
      </c>
      <c r="F6" s="25" t="s">
        <v>19</v>
      </c>
      <c r="G6" s="26"/>
      <c r="H6" s="55"/>
      <c r="I6" s="60" t="s">
        <v>22</v>
      </c>
      <c r="J6" s="62">
        <f>B2*80/100*G7/360</f>
        <v>62222.222222222219</v>
      </c>
      <c r="K6" s="38"/>
    </row>
    <row r="7" spans="1:11" x14ac:dyDescent="0.2">
      <c r="A7" s="8" t="s">
        <v>21</v>
      </c>
      <c r="B7" s="6">
        <f>C7*$B$2</f>
        <v>280000</v>
      </c>
      <c r="C7" s="21">
        <v>0.1</v>
      </c>
      <c r="E7" s="8" t="s">
        <v>22</v>
      </c>
      <c r="F7" s="18">
        <f>B2*80/100*G7/360</f>
        <v>62222.222222222219</v>
      </c>
      <c r="G7" s="14">
        <v>10</v>
      </c>
      <c r="H7" s="55"/>
      <c r="I7" s="5" t="s">
        <v>54</v>
      </c>
      <c r="J7" s="62">
        <f>B2*(1+F12)*G9/360</f>
        <v>418600</v>
      </c>
      <c r="K7" s="38"/>
    </row>
    <row r="8" spans="1:11" x14ac:dyDescent="0.2">
      <c r="A8" s="8" t="s">
        <v>23</v>
      </c>
      <c r="B8" s="6">
        <f>C8*B2</f>
        <v>489999.99999999994</v>
      </c>
      <c r="C8" s="21">
        <v>0.17499999999999999</v>
      </c>
      <c r="E8" s="30" t="s">
        <v>24</v>
      </c>
      <c r="F8" s="31" t="s">
        <v>25</v>
      </c>
      <c r="G8" s="32"/>
      <c r="H8" s="55"/>
      <c r="I8" s="5" t="s">
        <v>55</v>
      </c>
      <c r="J8" s="62"/>
      <c r="K8" s="38"/>
    </row>
    <row r="9" spans="1:11" ht="25.5" x14ac:dyDescent="0.2">
      <c r="A9" s="8" t="s">
        <v>27</v>
      </c>
      <c r="B9" s="6">
        <f>B8*0.5</f>
        <v>244999.99999999997</v>
      </c>
      <c r="C9" s="21">
        <v>8.7499999999999994E-2</v>
      </c>
      <c r="E9" s="8" t="s">
        <v>28</v>
      </c>
      <c r="F9" s="18">
        <f>B2*G9/360</f>
        <v>350000</v>
      </c>
      <c r="G9" s="14">
        <v>45</v>
      </c>
      <c r="H9" s="55"/>
      <c r="I9" s="63" t="s">
        <v>56</v>
      </c>
      <c r="J9" s="37"/>
      <c r="K9" s="64">
        <f>B5*G10*(1+F12)/360</f>
        <v>223253.33333333334</v>
      </c>
    </row>
    <row r="10" spans="1:11" ht="38.25" x14ac:dyDescent="0.2">
      <c r="A10" s="5" t="s">
        <v>30</v>
      </c>
      <c r="B10" s="13">
        <f>B2-(SUM(B5:B9))</f>
        <v>525000</v>
      </c>
      <c r="C10" s="36">
        <f>B10/$B$2</f>
        <v>0.1875</v>
      </c>
      <c r="E10" s="8" t="s">
        <v>31</v>
      </c>
      <c r="F10" s="18">
        <f>B5*G10/360</f>
        <v>186666.66666666666</v>
      </c>
      <c r="G10" s="14">
        <v>60</v>
      </c>
      <c r="H10" s="55"/>
      <c r="I10" s="63" t="s">
        <v>57</v>
      </c>
      <c r="J10" s="37"/>
      <c r="K10" s="65">
        <f>B6*G11*(1+F12)/360</f>
        <v>20930</v>
      </c>
    </row>
    <row r="11" spans="1:11" ht="25.5" x14ac:dyDescent="0.2">
      <c r="A11" s="15" t="s">
        <v>32</v>
      </c>
      <c r="B11" s="37"/>
      <c r="C11" s="38"/>
      <c r="E11" s="8" t="s">
        <v>33</v>
      </c>
      <c r="F11" s="18">
        <f>B6*G11/360</f>
        <v>17500</v>
      </c>
      <c r="G11" s="14">
        <v>45</v>
      </c>
      <c r="H11" s="55"/>
      <c r="I11" s="63" t="s">
        <v>58</v>
      </c>
      <c r="J11" s="37"/>
      <c r="K11" s="65">
        <f>B7*G11*(1+F12)/360</f>
        <v>41860</v>
      </c>
    </row>
    <row r="12" spans="1:11" x14ac:dyDescent="0.2">
      <c r="A12" s="8" t="s">
        <v>35</v>
      </c>
      <c r="B12" s="6">
        <v>192000</v>
      </c>
      <c r="C12" s="36">
        <f>B12/$B$2</f>
        <v>6.8571428571428575E-2</v>
      </c>
      <c r="E12" s="8" t="s">
        <v>36</v>
      </c>
      <c r="F12" s="39">
        <v>0.19600000000000001</v>
      </c>
      <c r="G12" s="7"/>
      <c r="H12" s="55"/>
      <c r="I12" s="66"/>
      <c r="J12" s="62"/>
      <c r="K12" s="38"/>
    </row>
    <row r="13" spans="1:11" x14ac:dyDescent="0.2">
      <c r="A13" s="8" t="s">
        <v>38</v>
      </c>
      <c r="B13" s="6">
        <v>24000</v>
      </c>
      <c r="C13" s="36">
        <f>B13/$B$2</f>
        <v>8.5714285714285719E-3</v>
      </c>
      <c r="E13" s="8" t="s">
        <v>23</v>
      </c>
      <c r="F13" s="18" t="s">
        <v>40</v>
      </c>
      <c r="G13" s="7"/>
      <c r="H13" s="55"/>
      <c r="I13" s="60" t="s">
        <v>59</v>
      </c>
      <c r="J13" s="67">
        <f>F12*(SUM(B5:B7))*35/360</f>
        <v>29345.555555555555</v>
      </c>
      <c r="K13" s="38"/>
    </row>
    <row r="14" spans="1:11" ht="25.5" x14ac:dyDescent="0.2">
      <c r="A14" s="5" t="s">
        <v>42</v>
      </c>
      <c r="B14" s="13">
        <f>SUM(B5:B9)+B12+B13</f>
        <v>2491000</v>
      </c>
      <c r="C14" s="36">
        <f>B14/$B$2</f>
        <v>0.88964285714285718</v>
      </c>
      <c r="E14" s="8" t="s">
        <v>27</v>
      </c>
      <c r="F14" s="18" t="s">
        <v>43</v>
      </c>
      <c r="G14" s="7"/>
      <c r="H14" s="55"/>
      <c r="I14" s="63" t="s">
        <v>60</v>
      </c>
      <c r="J14" s="37"/>
      <c r="K14" s="70">
        <f>B2*F12*35/360</f>
        <v>53355.555555555555</v>
      </c>
    </row>
    <row r="15" spans="1:11" ht="26.25" thickBot="1" x14ac:dyDescent="0.25">
      <c r="A15" s="44" t="s">
        <v>44</v>
      </c>
      <c r="B15" s="45">
        <f>B2-B14</f>
        <v>309000</v>
      </c>
      <c r="C15" s="46">
        <f>B15/B2</f>
        <v>0.11035714285714286</v>
      </c>
      <c r="D15" s="77"/>
      <c r="E15" s="47" t="s">
        <v>38</v>
      </c>
      <c r="F15" s="48" t="s">
        <v>45</v>
      </c>
      <c r="G15" s="49"/>
      <c r="H15" s="55"/>
      <c r="I15" s="66"/>
      <c r="J15" s="69"/>
      <c r="K15" s="38"/>
    </row>
    <row r="16" spans="1:11" x14ac:dyDescent="0.2">
      <c r="A16" s="44" t="s">
        <v>47</v>
      </c>
      <c r="B16" s="45">
        <f>B15/3</f>
        <v>103000</v>
      </c>
      <c r="C16" s="46">
        <f>B16/B2</f>
        <v>3.6785714285714283E-2</v>
      </c>
      <c r="H16" s="55"/>
      <c r="I16" s="40" t="s">
        <v>61</v>
      </c>
      <c r="J16" s="37"/>
      <c r="K16" s="70">
        <f>(B9*90)/360</f>
        <v>61249.999999999993</v>
      </c>
    </row>
    <row r="17" spans="1:11" ht="26.25" thickBot="1" x14ac:dyDescent="0.25">
      <c r="A17" s="52" t="s">
        <v>48</v>
      </c>
      <c r="B17" s="53">
        <f>B15-B16</f>
        <v>206000</v>
      </c>
      <c r="C17" s="54">
        <f>B17/B2</f>
        <v>7.3571428571428565E-2</v>
      </c>
      <c r="E17" s="55"/>
      <c r="F17" s="55"/>
      <c r="G17" s="55"/>
      <c r="H17" s="55"/>
      <c r="I17" s="40" t="s">
        <v>62</v>
      </c>
      <c r="J17" s="37"/>
      <c r="K17" s="71">
        <f>B16</f>
        <v>103000</v>
      </c>
    </row>
    <row r="18" spans="1:11" ht="12.75" customHeight="1" x14ac:dyDescent="0.2">
      <c r="A18" s="72"/>
      <c r="B18" s="72"/>
      <c r="C18" s="72"/>
      <c r="E18" s="146" t="s">
        <v>63</v>
      </c>
      <c r="F18" s="147"/>
      <c r="H18" s="55"/>
      <c r="I18" s="73"/>
      <c r="J18" s="69"/>
      <c r="K18" s="38"/>
    </row>
    <row r="19" spans="1:11" x14ac:dyDescent="0.2">
      <c r="A19" s="55" t="s">
        <v>34</v>
      </c>
      <c r="B19" s="55"/>
      <c r="C19" s="74"/>
      <c r="E19" s="30" t="s">
        <v>52</v>
      </c>
      <c r="F19" s="70">
        <f>F3+F5+F7</f>
        <v>248888.88888888888</v>
      </c>
      <c r="H19" s="55"/>
      <c r="I19" s="40" t="s">
        <v>64</v>
      </c>
      <c r="J19" s="37"/>
      <c r="K19" s="70">
        <f>B13*90/360</f>
        <v>6000</v>
      </c>
    </row>
    <row r="20" spans="1:11" ht="12.75" customHeight="1" x14ac:dyDescent="0.2">
      <c r="A20" s="55" t="s">
        <v>65</v>
      </c>
      <c r="B20" s="75"/>
      <c r="C20" s="76"/>
      <c r="E20" s="30" t="s">
        <v>66</v>
      </c>
      <c r="F20" s="70">
        <f>F9</f>
        <v>350000</v>
      </c>
      <c r="I20" s="40" t="s">
        <v>67</v>
      </c>
      <c r="J20" s="69">
        <f>SUM(J4:J19)</f>
        <v>696834.44444444438</v>
      </c>
      <c r="K20" s="70">
        <f>SUM(K4:K19)</f>
        <v>509648.88888888893</v>
      </c>
    </row>
    <row r="21" spans="1:11" x14ac:dyDescent="0.2">
      <c r="A21" s="55" t="s">
        <v>68</v>
      </c>
      <c r="B21" s="55"/>
      <c r="C21" s="77"/>
      <c r="E21" s="30" t="s">
        <v>69</v>
      </c>
      <c r="F21" s="70">
        <f>F10+F11</f>
        <v>204166.66666666666</v>
      </c>
      <c r="I21" s="78" t="s">
        <v>70</v>
      </c>
      <c r="J21" s="148">
        <f>J20-K20</f>
        <v>187185.55555555545</v>
      </c>
      <c r="K21" s="149"/>
    </row>
    <row r="22" spans="1:11" ht="12" customHeight="1" x14ac:dyDescent="0.2">
      <c r="A22" s="55" t="s">
        <v>71</v>
      </c>
      <c r="B22" s="55"/>
      <c r="E22" s="126" t="s">
        <v>72</v>
      </c>
      <c r="F22" s="127">
        <f>F19+F20-F21</f>
        <v>394722.22222222225</v>
      </c>
      <c r="I22" s="78" t="s">
        <v>73</v>
      </c>
      <c r="J22" s="150">
        <f>J21/B2</f>
        <v>6.6851984126984093E-2</v>
      </c>
      <c r="K22" s="151"/>
    </row>
    <row r="23" spans="1:11" ht="13.5" thickBot="1" x14ac:dyDescent="0.25">
      <c r="E23" s="125" t="s">
        <v>138</v>
      </c>
      <c r="F23" s="129">
        <f>F22*360/B2</f>
        <v>50.75</v>
      </c>
      <c r="I23" s="130" t="s">
        <v>138</v>
      </c>
      <c r="J23" s="152">
        <f>J21*360/B2</f>
        <v>24.066714285714269</v>
      </c>
      <c r="K23" s="153"/>
    </row>
    <row r="24" spans="1:11" ht="13.5" thickBot="1" x14ac:dyDescent="0.25">
      <c r="E24" s="128" t="s">
        <v>139</v>
      </c>
      <c r="F24" s="131">
        <f>F22/B2</f>
        <v>0.14097222222222222</v>
      </c>
    </row>
  </sheetData>
  <mergeCells count="5">
    <mergeCell ref="I1:K1"/>
    <mergeCell ref="E18:F18"/>
    <mergeCell ref="J21:K21"/>
    <mergeCell ref="J22:K22"/>
    <mergeCell ref="J23:K23"/>
  </mergeCells>
  <printOptions headings="1" gridLines="1"/>
  <pageMargins left="0.78749999999999998" right="0.78749999999999998" top="0.98402777777777795" bottom="0.98402777777777795" header="0.51180555555555496" footer="0.51180555555555496"/>
  <pageSetup paperSize="9" firstPageNumber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PageLayoutView="60" workbookViewId="0">
      <selection activeCell="A5" sqref="A5:B8"/>
    </sheetView>
  </sheetViews>
  <sheetFormatPr defaultColWidth="11.42578125" defaultRowHeight="12.75" x14ac:dyDescent="0.2"/>
  <cols>
    <col min="1" max="1" width="58.7109375"/>
    <col min="2" max="2" width="14.42578125" customWidth="1"/>
    <col min="3" max="3" width="58.7109375"/>
    <col min="4" max="4" width="14.5703125" bestFit="1" customWidth="1"/>
    <col min="5" max="1025" width="10.7109375"/>
  </cols>
  <sheetData>
    <row r="1" spans="1:5" x14ac:dyDescent="0.2">
      <c r="A1" s="154" t="s">
        <v>137</v>
      </c>
      <c r="B1" s="154"/>
      <c r="C1" s="155" t="s">
        <v>74</v>
      </c>
      <c r="D1" s="155"/>
      <c r="E1" s="79"/>
    </row>
    <row r="2" spans="1:5" x14ac:dyDescent="0.2">
      <c r="A2" s="80" t="s">
        <v>75</v>
      </c>
      <c r="B2" s="132">
        <v>2800000</v>
      </c>
      <c r="C2" s="81" t="s">
        <v>75</v>
      </c>
      <c r="D2" s="138">
        <v>2800000</v>
      </c>
    </row>
    <row r="3" spans="1:5" x14ac:dyDescent="0.2">
      <c r="A3" s="124" t="s">
        <v>136</v>
      </c>
      <c r="B3" s="133">
        <f>'BFR Simulation 30j'!J20-'BFR Simulation 30j'!K20</f>
        <v>47652.222222222073</v>
      </c>
      <c r="C3" s="124" t="s">
        <v>76</v>
      </c>
      <c r="D3" s="139">
        <f>'BFR Simulation 45j'!J20-'BFR Simulation 45j'!K20</f>
        <v>187185.55555555545</v>
      </c>
    </row>
    <row r="4" spans="1:5" x14ac:dyDescent="0.2">
      <c r="A4" s="82" t="s">
        <v>77</v>
      </c>
      <c r="B4" s="134">
        <f>100000</f>
        <v>100000</v>
      </c>
      <c r="C4" s="82" t="s">
        <v>77</v>
      </c>
      <c r="D4" s="138">
        <f>100000</f>
        <v>100000</v>
      </c>
    </row>
    <row r="5" spans="1:5" x14ac:dyDescent="0.2">
      <c r="A5" s="82" t="s">
        <v>78</v>
      </c>
      <c r="B5" s="135">
        <f>B3+B4</f>
        <v>147652.22222222207</v>
      </c>
      <c r="C5" s="82" t="s">
        <v>78</v>
      </c>
      <c r="D5" s="140">
        <f>D3+D4</f>
        <v>287185.55555555545</v>
      </c>
    </row>
    <row r="6" spans="1:5" x14ac:dyDescent="0.2">
      <c r="A6" s="82" t="s">
        <v>79</v>
      </c>
      <c r="B6" s="133">
        <f>'Q1) CA point mort, payback'!B17+'Q1) CA point mort, payback'!B12</f>
        <v>348000</v>
      </c>
      <c r="C6" s="82" t="s">
        <v>79</v>
      </c>
      <c r="D6" s="139">
        <f>B6</f>
        <v>348000</v>
      </c>
    </row>
    <row r="7" spans="1:5" x14ac:dyDescent="0.2">
      <c r="A7" s="83" t="s">
        <v>80</v>
      </c>
      <c r="B7" s="136" t="str">
        <f>IF(B6&gt;B5,"OUI","NON")</f>
        <v>OUI</v>
      </c>
      <c r="C7" s="83" t="s">
        <v>80</v>
      </c>
      <c r="D7" s="141" t="str">
        <f>IF(D6&gt;D5,"OUI","NON")</f>
        <v>OUI</v>
      </c>
    </row>
    <row r="8" spans="1:5" x14ac:dyDescent="0.2">
      <c r="A8" s="84" t="s">
        <v>81</v>
      </c>
      <c r="B8" s="137">
        <f>B6-B5</f>
        <v>200347.77777777793</v>
      </c>
      <c r="C8" s="83" t="s">
        <v>81</v>
      </c>
      <c r="D8" s="142">
        <f>D6-D5</f>
        <v>60814.444444444554</v>
      </c>
    </row>
    <row r="9" spans="1:5" x14ac:dyDescent="0.2">
      <c r="C9" s="84" t="s">
        <v>82</v>
      </c>
      <c r="D9" s="143">
        <v>0</v>
      </c>
    </row>
  </sheetData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PageLayoutView="60" workbookViewId="0">
      <selection activeCell="E19" sqref="E19"/>
    </sheetView>
  </sheetViews>
  <sheetFormatPr defaultColWidth="11.42578125" defaultRowHeight="12.75" x14ac:dyDescent="0.2"/>
  <cols>
    <col min="1" max="1" width="41"/>
    <col min="2" max="3" width="12.5703125"/>
    <col min="4" max="4" width="11.5703125" bestFit="1" customWidth="1"/>
    <col min="5" max="6" width="10.7109375"/>
    <col min="7" max="7" width="23"/>
    <col min="8" max="1025" width="10.7109375"/>
  </cols>
  <sheetData>
    <row r="1" spans="1:10" ht="57" customHeight="1" x14ac:dyDescent="0.35">
      <c r="A1" s="86"/>
      <c r="B1" s="2" t="s">
        <v>83</v>
      </c>
      <c r="C1" s="2" t="s">
        <v>84</v>
      </c>
      <c r="D1" s="87" t="s">
        <v>85</v>
      </c>
    </row>
    <row r="2" spans="1:10" ht="23.25" x14ac:dyDescent="0.35">
      <c r="A2" s="88" t="s">
        <v>86</v>
      </c>
      <c r="B2" s="89"/>
      <c r="C2" s="89"/>
      <c r="D2" s="90"/>
    </row>
    <row r="3" spans="1:10" x14ac:dyDescent="0.2">
      <c r="A3" s="82" t="s">
        <v>87</v>
      </c>
      <c r="B3" s="91">
        <f>'Q1) CA point mort, payback'!B8</f>
        <v>420000</v>
      </c>
      <c r="C3" s="92">
        <f>B3*1.47701852</f>
        <v>620347.77839999995</v>
      </c>
      <c r="D3" s="93">
        <f>C3-B3</f>
        <v>200347.77839999995</v>
      </c>
      <c r="G3" s="156"/>
      <c r="H3" s="156"/>
      <c r="I3" s="156"/>
      <c r="J3" s="156"/>
    </row>
    <row r="4" spans="1:10" x14ac:dyDescent="0.2">
      <c r="A4" s="82" t="s">
        <v>27</v>
      </c>
      <c r="B4" s="91">
        <f>B3/2</f>
        <v>210000</v>
      </c>
      <c r="C4" s="91">
        <f>C3/2</f>
        <v>310173.88919999998</v>
      </c>
      <c r="D4" s="93">
        <f>C4-B4</f>
        <v>100173.88919999998</v>
      </c>
      <c r="G4" s="156"/>
      <c r="H4" s="156"/>
      <c r="I4" s="156"/>
      <c r="J4" s="156"/>
    </row>
    <row r="5" spans="1:10" x14ac:dyDescent="0.2">
      <c r="A5" s="82" t="s">
        <v>88</v>
      </c>
      <c r="B5" s="91">
        <f>'Q1) CA point mort, payback'!B15</f>
        <v>234000</v>
      </c>
      <c r="C5" s="91">
        <f>B5+B3-C3+B4-C4</f>
        <v>-66521.667599999928</v>
      </c>
      <c r="D5" s="93">
        <f>C5-B5</f>
        <v>-300521.66759999993</v>
      </c>
      <c r="G5" s="156"/>
      <c r="H5" s="156"/>
      <c r="I5" s="156"/>
      <c r="J5" s="156"/>
    </row>
    <row r="6" spans="1:10" x14ac:dyDescent="0.2">
      <c r="A6" s="82" t="s">
        <v>89</v>
      </c>
      <c r="B6" s="91">
        <f>B5/3</f>
        <v>78000</v>
      </c>
      <c r="C6" s="91">
        <f>C5/3</f>
        <v>-22173.889199999976</v>
      </c>
      <c r="D6" s="93">
        <f>C6-B6</f>
        <v>-100173.88919999998</v>
      </c>
      <c r="G6" s="156"/>
      <c r="H6" s="156"/>
      <c r="I6" s="156"/>
      <c r="J6" s="156"/>
    </row>
    <row r="7" spans="1:10" x14ac:dyDescent="0.2">
      <c r="A7" s="94" t="s">
        <v>90</v>
      </c>
      <c r="B7" s="95">
        <f>B5-B6</f>
        <v>156000</v>
      </c>
      <c r="C7" s="95">
        <f>C5-C6</f>
        <v>-44347.778399999952</v>
      </c>
      <c r="D7" s="96"/>
      <c r="G7" s="156"/>
      <c r="H7" s="156"/>
      <c r="I7" s="156"/>
      <c r="J7" s="156"/>
    </row>
    <row r="8" spans="1:10" x14ac:dyDescent="0.2">
      <c r="A8" s="124" t="s">
        <v>135</v>
      </c>
      <c r="B8" s="157">
        <f>'Q3) Q4)CAF 2009 pour 2010 '!B3</f>
        <v>47652.222222222073</v>
      </c>
      <c r="C8" s="157"/>
      <c r="D8" s="93"/>
      <c r="G8" s="156"/>
      <c r="H8" s="156"/>
      <c r="I8" s="156"/>
      <c r="J8" s="156"/>
    </row>
    <row r="9" spans="1:10" x14ac:dyDescent="0.2">
      <c r="A9" s="82" t="s">
        <v>91</v>
      </c>
      <c r="B9" s="158">
        <f>'Q3) Q4)CAF 2009 pour 2010 '!B4</f>
        <v>100000</v>
      </c>
      <c r="C9" s="158"/>
      <c r="D9" s="97"/>
    </row>
    <row r="10" spans="1:10" x14ac:dyDescent="0.2">
      <c r="A10" s="94" t="s">
        <v>92</v>
      </c>
      <c r="B10" s="157">
        <f>SUM(B8:B9)</f>
        <v>147652.22222222207</v>
      </c>
      <c r="C10" s="157"/>
      <c r="D10" s="97"/>
    </row>
    <row r="11" spans="1:10" x14ac:dyDescent="0.2">
      <c r="A11" s="82"/>
      <c r="B11" s="91"/>
      <c r="C11" s="91"/>
      <c r="D11" s="97"/>
    </row>
    <row r="12" spans="1:10" x14ac:dyDescent="0.2">
      <c r="A12" s="82" t="s">
        <v>93</v>
      </c>
      <c r="B12" s="91">
        <f>'Q1) CA point mort, payback'!B12</f>
        <v>192000</v>
      </c>
      <c r="C12" s="91">
        <f>B12</f>
        <v>192000</v>
      </c>
      <c r="D12" s="97"/>
      <c r="G12" s="77"/>
    </row>
    <row r="13" spans="1:10" x14ac:dyDescent="0.2">
      <c r="A13" s="94" t="s">
        <v>94</v>
      </c>
      <c r="B13" s="95">
        <f>B7+B12</f>
        <v>348000</v>
      </c>
      <c r="C13" s="95">
        <f>C7+C12</f>
        <v>147652.22160000005</v>
      </c>
      <c r="D13" s="97"/>
    </row>
    <row r="14" spans="1:10" ht="13.5" thickBot="1" x14ac:dyDescent="0.25">
      <c r="A14" s="98" t="s">
        <v>95</v>
      </c>
      <c r="B14" s="99">
        <f>B13-B10</f>
        <v>200347.77777777793</v>
      </c>
      <c r="C14" s="99">
        <f>C13-B10</f>
        <v>-6.2222202541306615E-4</v>
      </c>
      <c r="D14" s="100">
        <f>C14-B14</f>
        <v>-200347.77839999995</v>
      </c>
    </row>
  </sheetData>
  <mergeCells count="4">
    <mergeCell ref="G3:J8"/>
    <mergeCell ref="B8:C8"/>
    <mergeCell ref="B9:C9"/>
    <mergeCell ref="B10:C10"/>
  </mergeCells>
  <printOptions headings="1" gridLines="1"/>
  <pageMargins left="0.70833333333333304" right="0.70833333333333304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PageLayoutView="60" workbookViewId="0">
      <selection activeCell="B5" sqref="B5"/>
    </sheetView>
  </sheetViews>
  <sheetFormatPr defaultColWidth="11.42578125" defaultRowHeight="12.75" x14ac:dyDescent="0.2"/>
  <cols>
    <col min="1" max="1" width="39.85546875"/>
    <col min="2" max="2" width="10.140625"/>
    <col min="3" max="3" width="11.28515625"/>
    <col min="4" max="4" width="10.7109375"/>
    <col min="5" max="5" width="34.5703125"/>
    <col min="6" max="6" width="22.85546875"/>
    <col min="7" max="7" width="22.28515625"/>
    <col min="8" max="8" width="10.7109375"/>
    <col min="9" max="9" width="32.7109375"/>
    <col min="10" max="1025" width="10.7109375"/>
  </cols>
  <sheetData>
    <row r="1" spans="1:11" ht="46.35" customHeight="1" x14ac:dyDescent="0.2">
      <c r="A1" s="1" t="s">
        <v>96</v>
      </c>
      <c r="B1" s="2" t="s">
        <v>1</v>
      </c>
      <c r="C1" s="3" t="s">
        <v>2</v>
      </c>
      <c r="E1" s="4"/>
      <c r="F1" s="2" t="s">
        <v>3</v>
      </c>
      <c r="G1" s="3" t="s">
        <v>4</v>
      </c>
      <c r="I1" s="146" t="s">
        <v>49</v>
      </c>
      <c r="J1" s="146"/>
      <c r="K1" s="146"/>
    </row>
    <row r="2" spans="1:11" ht="25.5" x14ac:dyDescent="0.2">
      <c r="A2" s="5" t="s">
        <v>6</v>
      </c>
      <c r="B2" s="13">
        <v>2400000</v>
      </c>
      <c r="C2" s="7"/>
      <c r="E2" s="8"/>
      <c r="F2" s="9"/>
      <c r="G2" s="10"/>
      <c r="I2" s="56"/>
      <c r="J2" s="57" t="s">
        <v>50</v>
      </c>
      <c r="K2" s="58" t="s">
        <v>51</v>
      </c>
    </row>
    <row r="3" spans="1:11" x14ac:dyDescent="0.2">
      <c r="A3" s="5" t="s">
        <v>7</v>
      </c>
      <c r="B3" s="13"/>
      <c r="C3" s="7"/>
      <c r="E3" s="8" t="s">
        <v>8</v>
      </c>
      <c r="F3" s="18">
        <f>B5*30/360</f>
        <v>75833.333599999998</v>
      </c>
      <c r="G3" s="14">
        <v>30</v>
      </c>
      <c r="I3" s="59" t="s">
        <v>52</v>
      </c>
      <c r="J3" s="37"/>
      <c r="K3" s="38"/>
    </row>
    <row r="4" spans="1:11" ht="25.5" x14ac:dyDescent="0.2">
      <c r="A4" s="15" t="s">
        <v>10</v>
      </c>
      <c r="B4" s="16">
        <f>SUM(B5:B9)</f>
        <v>1900000.0032000002</v>
      </c>
      <c r="C4" s="17">
        <f>SUM(C5:C9)</f>
        <v>0.81250000000000011</v>
      </c>
      <c r="E4" s="8" t="s">
        <v>11</v>
      </c>
      <c r="F4" s="18" t="s">
        <v>12</v>
      </c>
      <c r="G4" s="14"/>
      <c r="I4" s="60" t="s">
        <v>8</v>
      </c>
      <c r="J4" s="61">
        <f>F3</f>
        <v>75833.333599999998</v>
      </c>
      <c r="K4" s="38"/>
    </row>
    <row r="5" spans="1:11" x14ac:dyDescent="0.2">
      <c r="A5" s="8" t="s">
        <v>14</v>
      </c>
      <c r="B5" s="20">
        <f>C5*B2*0.94791667</f>
        <v>910000.00320000004</v>
      </c>
      <c r="C5" s="21">
        <v>0.4</v>
      </c>
      <c r="E5" s="22" t="s">
        <v>15</v>
      </c>
      <c r="F5" s="18">
        <f>B2*60/100*20/360</f>
        <v>80000</v>
      </c>
      <c r="G5" s="23">
        <v>20</v>
      </c>
      <c r="I5" s="60" t="s">
        <v>53</v>
      </c>
      <c r="J5" s="62">
        <f>F5</f>
        <v>80000</v>
      </c>
      <c r="K5" s="38"/>
    </row>
    <row r="6" spans="1:11" x14ac:dyDescent="0.2">
      <c r="A6" s="8" t="s">
        <v>17</v>
      </c>
      <c r="B6" s="6">
        <f>C6*B2</f>
        <v>120000</v>
      </c>
      <c r="C6" s="21">
        <v>0.05</v>
      </c>
      <c r="E6" s="24" t="s">
        <v>18</v>
      </c>
      <c r="F6" s="25" t="s">
        <v>19</v>
      </c>
      <c r="G6" s="26"/>
      <c r="I6" s="60" t="s">
        <v>22</v>
      </c>
      <c r="J6" s="62">
        <f>F7</f>
        <v>53333.333333333336</v>
      </c>
      <c r="K6" s="38"/>
    </row>
    <row r="7" spans="1:11" x14ac:dyDescent="0.2">
      <c r="A7" s="8" t="s">
        <v>21</v>
      </c>
      <c r="B7" s="6">
        <f>C7*B2</f>
        <v>240000</v>
      </c>
      <c r="C7" s="21">
        <v>0.1</v>
      </c>
      <c r="E7" s="8" t="s">
        <v>22</v>
      </c>
      <c r="F7" s="18">
        <f>B2*80/100*10/360</f>
        <v>53333.333333333336</v>
      </c>
      <c r="G7" s="14">
        <v>10</v>
      </c>
      <c r="I7" s="5" t="s">
        <v>54</v>
      </c>
      <c r="J7" s="62">
        <f>B2*(1+F12)*G9/360</f>
        <v>239200</v>
      </c>
      <c r="K7" s="38"/>
    </row>
    <row r="8" spans="1:11" x14ac:dyDescent="0.2">
      <c r="A8" s="8" t="s">
        <v>23</v>
      </c>
      <c r="B8" s="6">
        <f>C8*B2</f>
        <v>420000</v>
      </c>
      <c r="C8" s="21">
        <v>0.17499999999999999</v>
      </c>
      <c r="E8" s="30" t="s">
        <v>24</v>
      </c>
      <c r="F8" s="31" t="s">
        <v>25</v>
      </c>
      <c r="G8" s="32"/>
      <c r="I8" s="5" t="s">
        <v>55</v>
      </c>
      <c r="J8" s="62"/>
      <c r="K8" s="38"/>
    </row>
    <row r="9" spans="1:11" ht="25.5" x14ac:dyDescent="0.2">
      <c r="A9" s="8" t="s">
        <v>27</v>
      </c>
      <c r="B9" s="6">
        <f>B8*0.5</f>
        <v>210000</v>
      </c>
      <c r="C9" s="21">
        <v>8.7499999999999994E-2</v>
      </c>
      <c r="E9" s="8" t="s">
        <v>28</v>
      </c>
      <c r="F9" s="18">
        <f>B2*G9/360</f>
        <v>200000</v>
      </c>
      <c r="G9" s="14">
        <v>30</v>
      </c>
      <c r="I9" s="63" t="s">
        <v>56</v>
      </c>
      <c r="J9" s="37"/>
      <c r="K9" s="64">
        <f>B5*G10*(1+F12)/360</f>
        <v>181393.33397119999</v>
      </c>
    </row>
    <row r="10" spans="1:11" ht="38.25" x14ac:dyDescent="0.2">
      <c r="A10" s="5" t="s">
        <v>30</v>
      </c>
      <c r="B10" s="13">
        <f>B2-(SUM(B5:B9))</f>
        <v>499999.99679999985</v>
      </c>
      <c r="C10" s="36">
        <f>B10/B2</f>
        <v>0.20833333199999993</v>
      </c>
      <c r="E10" s="8" t="s">
        <v>31</v>
      </c>
      <c r="F10" s="18">
        <f>B5*G10/360</f>
        <v>151666.6672</v>
      </c>
      <c r="G10" s="14">
        <v>60</v>
      </c>
      <c r="I10" s="63" t="s">
        <v>57</v>
      </c>
      <c r="J10" s="37"/>
      <c r="K10" s="65">
        <f>B6*G11*(1+F12)/360</f>
        <v>17940</v>
      </c>
    </row>
    <row r="11" spans="1:11" ht="25.5" x14ac:dyDescent="0.2">
      <c r="A11" s="15" t="s">
        <v>32</v>
      </c>
      <c r="B11" s="37"/>
      <c r="C11" s="38"/>
      <c r="E11" s="8" t="s">
        <v>33</v>
      </c>
      <c r="F11" s="18">
        <f>B6*G11/360</f>
        <v>15000</v>
      </c>
      <c r="G11" s="14">
        <v>45</v>
      </c>
      <c r="I11" s="63" t="s">
        <v>58</v>
      </c>
      <c r="J11" s="37"/>
      <c r="K11" s="65">
        <f>B7*G11*(1+F12)/360</f>
        <v>35880</v>
      </c>
    </row>
    <row r="12" spans="1:11" x14ac:dyDescent="0.2">
      <c r="A12" s="8" t="s">
        <v>35</v>
      </c>
      <c r="B12" s="6">
        <v>192000</v>
      </c>
      <c r="C12" s="36">
        <f>B12/B2</f>
        <v>0.08</v>
      </c>
      <c r="E12" s="8" t="s">
        <v>36</v>
      </c>
      <c r="F12" s="39">
        <v>0.19600000000000001</v>
      </c>
      <c r="G12" s="7"/>
      <c r="I12" s="66"/>
      <c r="J12" s="62"/>
      <c r="K12" s="38"/>
    </row>
    <row r="13" spans="1:11" x14ac:dyDescent="0.2">
      <c r="A13" s="8" t="s">
        <v>38</v>
      </c>
      <c r="B13" s="6">
        <v>24000</v>
      </c>
      <c r="C13" s="36">
        <f>B13/B2</f>
        <v>0.01</v>
      </c>
      <c r="E13" s="8" t="s">
        <v>39</v>
      </c>
      <c r="F13" s="18" t="s">
        <v>40</v>
      </c>
      <c r="G13" s="7"/>
      <c r="I13" s="60" t="s">
        <v>59</v>
      </c>
      <c r="J13" s="67">
        <f>F12*(SUM(B5:B7))*35/360</f>
        <v>24200.555616533336</v>
      </c>
      <c r="K13" s="38"/>
    </row>
    <row r="14" spans="1:11" ht="25.5" x14ac:dyDescent="0.2">
      <c r="A14" s="5" t="s">
        <v>42</v>
      </c>
      <c r="B14" s="13">
        <f>SUM(B5:B9)+B12+B13</f>
        <v>2116000.0032000002</v>
      </c>
      <c r="C14" s="36">
        <f>B14/B2</f>
        <v>0.88166666800000004</v>
      </c>
      <c r="E14" s="8" t="s">
        <v>27</v>
      </c>
      <c r="F14" s="18" t="s">
        <v>43</v>
      </c>
      <c r="G14" s="7"/>
      <c r="I14" s="63" t="s">
        <v>60</v>
      </c>
      <c r="J14" s="37"/>
      <c r="K14" s="68">
        <f>B2*F12*35/360</f>
        <v>45733.333333333336</v>
      </c>
    </row>
    <row r="15" spans="1:11" ht="25.5" x14ac:dyDescent="0.2">
      <c r="A15" s="44" t="s">
        <v>44</v>
      </c>
      <c r="B15" s="45">
        <f>B2-B14</f>
        <v>283999.99679999985</v>
      </c>
      <c r="C15" s="46">
        <f>B15/B2</f>
        <v>0.11833333199999993</v>
      </c>
      <c r="E15" s="47" t="s">
        <v>38</v>
      </c>
      <c r="F15" s="48" t="s">
        <v>45</v>
      </c>
      <c r="G15" s="49"/>
      <c r="I15" s="66"/>
      <c r="J15" s="69"/>
      <c r="K15" s="38"/>
    </row>
    <row r="16" spans="1:11" x14ac:dyDescent="0.2">
      <c r="A16" s="44" t="s">
        <v>47</v>
      </c>
      <c r="B16" s="45">
        <f>B15/3</f>
        <v>94666.665599999949</v>
      </c>
      <c r="C16" s="46">
        <f>B16/B2</f>
        <v>3.9444443999999981E-2</v>
      </c>
      <c r="I16" s="11" t="s">
        <v>61</v>
      </c>
      <c r="J16" s="37"/>
      <c r="K16" s="70">
        <f>(B9*90)/360</f>
        <v>52500</v>
      </c>
    </row>
    <row r="17" spans="1:11" x14ac:dyDescent="0.2">
      <c r="A17" s="52" t="s">
        <v>48</v>
      </c>
      <c r="B17" s="53">
        <f>B15-B16</f>
        <v>189333.3311999999</v>
      </c>
      <c r="C17" s="54">
        <f>B17/B2</f>
        <v>7.8888887999999963E-2</v>
      </c>
      <c r="I17" s="11" t="s">
        <v>62</v>
      </c>
      <c r="J17" s="37"/>
      <c r="K17" s="71">
        <f>B16</f>
        <v>94666.665599999949</v>
      </c>
    </row>
    <row r="18" spans="1:11" x14ac:dyDescent="0.2">
      <c r="I18" s="73"/>
      <c r="J18" s="69"/>
      <c r="K18" s="38"/>
    </row>
    <row r="19" spans="1:11" x14ac:dyDescent="0.2">
      <c r="I19" s="11" t="s">
        <v>64</v>
      </c>
      <c r="J19" s="37"/>
      <c r="K19" s="68">
        <f>B13*90/360</f>
        <v>6000</v>
      </c>
    </row>
    <row r="20" spans="1:11" x14ac:dyDescent="0.2">
      <c r="A20" s="101" t="s">
        <v>97</v>
      </c>
      <c r="B20" s="102">
        <f>1-0.94791667</f>
        <v>5.2083329999999983E-2</v>
      </c>
      <c r="I20" s="11" t="s">
        <v>67</v>
      </c>
      <c r="J20" s="69">
        <f>SUM(J4:J19)</f>
        <v>472567.22254986671</v>
      </c>
      <c r="K20" s="68">
        <f>SUM(K4:K19)</f>
        <v>434113.33290453325</v>
      </c>
    </row>
    <row r="21" spans="1:11" x14ac:dyDescent="0.2">
      <c r="I21" s="103" t="s">
        <v>98</v>
      </c>
      <c r="J21" s="160">
        <f>J20-K20</f>
        <v>38453.88964533346</v>
      </c>
      <c r="K21" s="160"/>
    </row>
    <row r="22" spans="1:11" x14ac:dyDescent="0.2">
      <c r="I22" s="104" t="s">
        <v>99</v>
      </c>
      <c r="J22" s="159">
        <f>J21/B2</f>
        <v>1.6022454018888941E-2</v>
      </c>
      <c r="K22" s="159"/>
    </row>
    <row r="24" spans="1:11" x14ac:dyDescent="0.2">
      <c r="I24" s="122" t="s">
        <v>133</v>
      </c>
      <c r="J24" s="123">
        <f>B17-J21</f>
        <v>150879.44155466644</v>
      </c>
    </row>
    <row r="26" spans="1:11" ht="13.5" thickBot="1" x14ac:dyDescent="0.25"/>
    <row r="27" spans="1:11" ht="38.25" x14ac:dyDescent="0.2">
      <c r="A27" s="1" t="s">
        <v>96</v>
      </c>
      <c r="B27" s="2" t="s">
        <v>1</v>
      </c>
      <c r="C27" s="3" t="s">
        <v>2</v>
      </c>
      <c r="E27" s="4"/>
      <c r="F27" s="2" t="s">
        <v>3</v>
      </c>
      <c r="G27" s="3" t="s">
        <v>4</v>
      </c>
      <c r="I27" s="146" t="s">
        <v>49</v>
      </c>
      <c r="J27" s="146"/>
      <c r="K27" s="146"/>
    </row>
    <row r="28" spans="1:11" ht="25.5" x14ac:dyDescent="0.2">
      <c r="A28" s="5" t="s">
        <v>6</v>
      </c>
      <c r="B28" s="13">
        <v>2400000</v>
      </c>
      <c r="C28" s="7"/>
      <c r="E28" s="8"/>
      <c r="F28" s="9"/>
      <c r="G28" s="10"/>
      <c r="I28" s="56"/>
      <c r="J28" s="57" t="s">
        <v>50</v>
      </c>
      <c r="K28" s="58" t="s">
        <v>51</v>
      </c>
    </row>
    <row r="29" spans="1:11" x14ac:dyDescent="0.2">
      <c r="A29" s="5" t="s">
        <v>7</v>
      </c>
      <c r="B29" s="13"/>
      <c r="C29" s="7"/>
      <c r="E29" s="8" t="s">
        <v>8</v>
      </c>
      <c r="F29" s="18">
        <f>B31*30/360</f>
        <v>75833.333599999998</v>
      </c>
      <c r="G29" s="14">
        <v>30</v>
      </c>
      <c r="I29" s="59" t="s">
        <v>52</v>
      </c>
      <c r="J29" s="37"/>
      <c r="K29" s="38"/>
    </row>
    <row r="30" spans="1:11" ht="25.5" x14ac:dyDescent="0.2">
      <c r="A30" s="15" t="s">
        <v>10</v>
      </c>
      <c r="B30" s="16">
        <f>SUM(B31:B35)</f>
        <v>1900000.0032000002</v>
      </c>
      <c r="C30" s="17">
        <f>SUM(C31:C35)</f>
        <v>0.81250000000000011</v>
      </c>
      <c r="E30" s="8" t="s">
        <v>11</v>
      </c>
      <c r="F30" s="18" t="s">
        <v>12</v>
      </c>
      <c r="G30" s="14"/>
      <c r="I30" s="60" t="s">
        <v>8</v>
      </c>
      <c r="J30" s="61">
        <f>F29</f>
        <v>75833.333599999998</v>
      </c>
      <c r="K30" s="38"/>
    </row>
    <row r="31" spans="1:11" x14ac:dyDescent="0.2">
      <c r="A31" s="8" t="s">
        <v>14</v>
      </c>
      <c r="B31" s="20">
        <f>C31*B28*0.94791667</f>
        <v>910000.00320000004</v>
      </c>
      <c r="C31" s="21">
        <v>0.4</v>
      </c>
      <c r="E31" s="30" t="s">
        <v>15</v>
      </c>
      <c r="F31" s="18">
        <f>B28*60/100*20/360</f>
        <v>80000</v>
      </c>
      <c r="G31" s="23">
        <v>20</v>
      </c>
      <c r="I31" s="60" t="s">
        <v>53</v>
      </c>
      <c r="J31" s="62">
        <f>F31</f>
        <v>80000</v>
      </c>
      <c r="K31" s="38"/>
    </row>
    <row r="32" spans="1:11" x14ac:dyDescent="0.2">
      <c r="A32" s="8" t="s">
        <v>17</v>
      </c>
      <c r="B32" s="6">
        <f>C32*B28</f>
        <v>120000</v>
      </c>
      <c r="C32" s="21">
        <v>0.05</v>
      </c>
      <c r="E32" s="24" t="s">
        <v>18</v>
      </c>
      <c r="F32" s="25" t="s">
        <v>19</v>
      </c>
      <c r="G32" s="26"/>
      <c r="I32" s="60" t="s">
        <v>22</v>
      </c>
      <c r="J32" s="62">
        <f>F33</f>
        <v>53333.333333333336</v>
      </c>
      <c r="K32" s="38"/>
    </row>
    <row r="33" spans="1:11" x14ac:dyDescent="0.2">
      <c r="A33" s="8" t="s">
        <v>21</v>
      </c>
      <c r="B33" s="6">
        <f>C33*B28</f>
        <v>240000</v>
      </c>
      <c r="C33" s="21">
        <v>0.1</v>
      </c>
      <c r="E33" s="8" t="s">
        <v>22</v>
      </c>
      <c r="F33" s="18">
        <f>B28*80/100*10/360</f>
        <v>53333.333333333336</v>
      </c>
      <c r="G33" s="14">
        <v>10</v>
      </c>
      <c r="I33" s="5" t="s">
        <v>54</v>
      </c>
      <c r="J33" s="62">
        <f>B28*(1+F38)*G35/360</f>
        <v>239200</v>
      </c>
      <c r="K33" s="38"/>
    </row>
    <row r="34" spans="1:11" x14ac:dyDescent="0.2">
      <c r="A34" s="8" t="s">
        <v>23</v>
      </c>
      <c r="B34" s="6">
        <f>C34*B28</f>
        <v>420000</v>
      </c>
      <c r="C34" s="21">
        <v>0.17499999999999999</v>
      </c>
      <c r="E34" s="30" t="s">
        <v>24</v>
      </c>
      <c r="F34" s="31" t="s">
        <v>25</v>
      </c>
      <c r="G34" s="32"/>
      <c r="I34" s="5" t="s">
        <v>55</v>
      </c>
      <c r="J34" s="62"/>
      <c r="K34" s="38"/>
    </row>
    <row r="35" spans="1:11" ht="25.5" x14ac:dyDescent="0.2">
      <c r="A35" s="8" t="s">
        <v>27</v>
      </c>
      <c r="B35" s="6">
        <f>B34*0.5</f>
        <v>210000</v>
      </c>
      <c r="C35" s="21">
        <v>8.7499999999999994E-2</v>
      </c>
      <c r="E35" s="8" t="s">
        <v>28</v>
      </c>
      <c r="F35" s="18">
        <f>B28*G35/360</f>
        <v>200000</v>
      </c>
      <c r="G35" s="14">
        <v>30</v>
      </c>
      <c r="I35" s="63" t="s">
        <v>56</v>
      </c>
      <c r="J35" s="37"/>
      <c r="K35" s="64">
        <f>B31*G36*(1+F38)/360</f>
        <v>272090.00095680001</v>
      </c>
    </row>
    <row r="36" spans="1:11" ht="38.25" x14ac:dyDescent="0.2">
      <c r="A36" s="5" t="s">
        <v>30</v>
      </c>
      <c r="B36" s="13">
        <f>B28-(SUM(B31:B35))</f>
        <v>499999.99679999985</v>
      </c>
      <c r="C36" s="36">
        <f>B36/B28</f>
        <v>0.20833333199999993</v>
      </c>
      <c r="E36" s="8" t="s">
        <v>31</v>
      </c>
      <c r="F36" s="18">
        <f>B31*G36/360</f>
        <v>227500.00080000001</v>
      </c>
      <c r="G36" s="14">
        <v>90</v>
      </c>
      <c r="I36" s="63" t="s">
        <v>57</v>
      </c>
      <c r="J36" s="37"/>
      <c r="K36" s="65">
        <f>B32*G37*(1+F38)/360</f>
        <v>17940</v>
      </c>
    </row>
    <row r="37" spans="1:11" ht="25.5" x14ac:dyDescent="0.2">
      <c r="A37" s="15" t="s">
        <v>32</v>
      </c>
      <c r="B37" s="37"/>
      <c r="C37" s="38"/>
      <c r="E37" s="8" t="s">
        <v>33</v>
      </c>
      <c r="F37" s="18">
        <f>B32*G37/360</f>
        <v>15000</v>
      </c>
      <c r="G37" s="14">
        <v>45</v>
      </c>
      <c r="I37" s="63" t="s">
        <v>58</v>
      </c>
      <c r="J37" s="37"/>
      <c r="K37" s="65">
        <f>B33*G37*(1+F38)/360</f>
        <v>35880</v>
      </c>
    </row>
    <row r="38" spans="1:11" x14ac:dyDescent="0.2">
      <c r="A38" s="8" t="s">
        <v>35</v>
      </c>
      <c r="B38" s="6">
        <v>192000</v>
      </c>
      <c r="C38" s="36">
        <f>B38/B28</f>
        <v>0.08</v>
      </c>
      <c r="E38" s="8" t="s">
        <v>36</v>
      </c>
      <c r="F38" s="39">
        <v>0.19600000000000001</v>
      </c>
      <c r="G38" s="7"/>
      <c r="I38" s="66"/>
      <c r="J38" s="62"/>
      <c r="K38" s="38"/>
    </row>
    <row r="39" spans="1:11" x14ac:dyDescent="0.2">
      <c r="A39" s="8" t="s">
        <v>38</v>
      </c>
      <c r="B39" s="6">
        <v>24000</v>
      </c>
      <c r="C39" s="36">
        <f>B39/B28</f>
        <v>0.01</v>
      </c>
      <c r="E39" s="8" t="s">
        <v>23</v>
      </c>
      <c r="F39" s="18" t="s">
        <v>40</v>
      </c>
      <c r="G39" s="7"/>
      <c r="I39" s="60" t="s">
        <v>59</v>
      </c>
      <c r="J39" s="67">
        <f>F38*(SUM(B31:B33))*35/360</f>
        <v>24200.555616533336</v>
      </c>
      <c r="K39" s="38"/>
    </row>
    <row r="40" spans="1:11" ht="25.5" x14ac:dyDescent="0.2">
      <c r="A40" s="5" t="s">
        <v>42</v>
      </c>
      <c r="B40" s="13">
        <f>SUM(B31:B35)+B38+B39</f>
        <v>2116000.0032000002</v>
      </c>
      <c r="C40" s="36">
        <f>B40/B28</f>
        <v>0.88166666800000004</v>
      </c>
      <c r="E40" s="8" t="s">
        <v>27</v>
      </c>
      <c r="F40" s="18" t="s">
        <v>43</v>
      </c>
      <c r="G40" s="7"/>
      <c r="I40" s="63" t="s">
        <v>60</v>
      </c>
      <c r="J40" s="37"/>
      <c r="K40" s="70">
        <f>B28*F38*35/360</f>
        <v>45733.333333333336</v>
      </c>
    </row>
    <row r="41" spans="1:11" ht="26.25" thickBot="1" x14ac:dyDescent="0.25">
      <c r="A41" s="44" t="s">
        <v>44</v>
      </c>
      <c r="B41" s="45">
        <f>B28-B40</f>
        <v>283999.99679999985</v>
      </c>
      <c r="C41" s="46">
        <f>B41/B28</f>
        <v>0.11833333199999993</v>
      </c>
      <c r="E41" s="47" t="s">
        <v>38</v>
      </c>
      <c r="F41" s="48" t="s">
        <v>45</v>
      </c>
      <c r="G41" s="49"/>
      <c r="I41" s="66"/>
      <c r="J41" s="69"/>
      <c r="K41" s="38"/>
    </row>
    <row r="42" spans="1:11" x14ac:dyDescent="0.2">
      <c r="A42" s="44" t="s">
        <v>47</v>
      </c>
      <c r="B42" s="45">
        <f>B41/3</f>
        <v>94666.665599999949</v>
      </c>
      <c r="C42" s="46">
        <f>B42/B28</f>
        <v>3.9444443999999981E-2</v>
      </c>
      <c r="I42" s="40" t="s">
        <v>61</v>
      </c>
      <c r="J42" s="37"/>
      <c r="K42" s="70">
        <f>(B35*90)/360</f>
        <v>52500</v>
      </c>
    </row>
    <row r="43" spans="1:11" ht="13.5" thickBot="1" x14ac:dyDescent="0.25">
      <c r="A43" s="52" t="s">
        <v>48</v>
      </c>
      <c r="B43" s="53">
        <f>B41-B42</f>
        <v>189333.3311999999</v>
      </c>
      <c r="C43" s="54">
        <f>B43/B28</f>
        <v>7.8888887999999963E-2</v>
      </c>
      <c r="I43" s="40" t="s">
        <v>62</v>
      </c>
      <c r="J43" s="37"/>
      <c r="K43" s="71">
        <f>B42</f>
        <v>94666.665599999949</v>
      </c>
    </row>
    <row r="44" spans="1:11" x14ac:dyDescent="0.2">
      <c r="I44" s="73"/>
      <c r="J44" s="69"/>
      <c r="K44" s="38"/>
    </row>
    <row r="45" spans="1:11" x14ac:dyDescent="0.2">
      <c r="I45" s="40" t="s">
        <v>64</v>
      </c>
      <c r="J45" s="37"/>
      <c r="K45" s="70">
        <f>B39*90/360</f>
        <v>6000</v>
      </c>
    </row>
    <row r="46" spans="1:11" x14ac:dyDescent="0.2">
      <c r="A46" s="101" t="s">
        <v>97</v>
      </c>
      <c r="B46" s="102">
        <f>1-0.94791667</f>
        <v>5.2083329999999983E-2</v>
      </c>
      <c r="I46" s="40" t="s">
        <v>67</v>
      </c>
      <c r="J46" s="69">
        <f>SUM(J30:J45)</f>
        <v>472567.22254986671</v>
      </c>
      <c r="K46" s="70">
        <f>SUM(K30:K45)</f>
        <v>524809.99989013327</v>
      </c>
    </row>
    <row r="47" spans="1:11" x14ac:dyDescent="0.2">
      <c r="I47" s="103" t="s">
        <v>98</v>
      </c>
      <c r="J47" s="160">
        <f>J46-K46</f>
        <v>-52242.777340266563</v>
      </c>
      <c r="K47" s="160"/>
    </row>
    <row r="48" spans="1:11" ht="13.5" thickBot="1" x14ac:dyDescent="0.25">
      <c r="I48" s="104" t="s">
        <v>99</v>
      </c>
      <c r="J48" s="159">
        <f>J47/B28</f>
        <v>-2.1767823891777734E-2</v>
      </c>
      <c r="K48" s="159"/>
    </row>
    <row r="50" spans="9:10" x14ac:dyDescent="0.2">
      <c r="I50" s="122" t="s">
        <v>133</v>
      </c>
      <c r="J50" s="123">
        <f>B43-J47</f>
        <v>241576.10854026646</v>
      </c>
    </row>
    <row r="52" spans="9:10" x14ac:dyDescent="0.2">
      <c r="I52" s="122" t="s">
        <v>134</v>
      </c>
      <c r="J52" s="123">
        <f>J50-J24</f>
        <v>90696.666985600023</v>
      </c>
    </row>
  </sheetData>
  <mergeCells count="6">
    <mergeCell ref="J48:K48"/>
    <mergeCell ref="I1:K1"/>
    <mergeCell ref="J21:K21"/>
    <mergeCell ref="J22:K22"/>
    <mergeCell ref="I27:K27"/>
    <mergeCell ref="J47:K47"/>
  </mergeCells>
  <pageMargins left="0.7" right="0.7" top="0.75" bottom="0.75" header="0.51180555555555496" footer="0.51180555555555496"/>
  <pageSetup paperSize="9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PageLayoutView="60" workbookViewId="0">
      <selection activeCell="B11" sqref="B11"/>
    </sheetView>
  </sheetViews>
  <sheetFormatPr defaultColWidth="11.42578125" defaultRowHeight="12.75" x14ac:dyDescent="0.2"/>
  <cols>
    <col min="1" max="1" width="44.28515625"/>
    <col min="2" max="2" width="11.7109375"/>
    <col min="3" max="3" width="10.7109375"/>
    <col min="4" max="4" width="40.28515625"/>
    <col min="5" max="5" width="12.7109375"/>
    <col min="6" max="1025" width="10.7109375"/>
  </cols>
  <sheetData>
    <row r="1" spans="1:5" x14ac:dyDescent="0.2">
      <c r="A1" s="161" t="s">
        <v>100</v>
      </c>
      <c r="B1" s="161"/>
      <c r="D1" s="155" t="s">
        <v>101</v>
      </c>
      <c r="E1" s="155"/>
    </row>
    <row r="2" spans="1:5" x14ac:dyDescent="0.2">
      <c r="A2" s="82" t="s">
        <v>102</v>
      </c>
      <c r="B2" s="105">
        <v>2800000</v>
      </c>
      <c r="D2" s="106"/>
      <c r="E2" s="107"/>
    </row>
    <row r="3" spans="1:5" x14ac:dyDescent="0.2">
      <c r="A3" s="82" t="s">
        <v>13</v>
      </c>
      <c r="B3" s="108">
        <f>'Q1) CA point mort, payback'!C4</f>
        <v>0.81250000000000011</v>
      </c>
      <c r="D3" s="82" t="s">
        <v>103</v>
      </c>
      <c r="E3" s="109">
        <f>B11</f>
        <v>304666.66666666634</v>
      </c>
    </row>
    <row r="4" spans="1:5" x14ac:dyDescent="0.2">
      <c r="A4" s="82" t="s">
        <v>104</v>
      </c>
      <c r="B4" s="68">
        <f>B2*B3</f>
        <v>2275000.0000000005</v>
      </c>
      <c r="D4" s="82" t="s">
        <v>105</v>
      </c>
      <c r="E4" s="110">
        <f>'Q3) Q4)CAF 2009 pour 2010 '!B3/'Q8) ; Q9) ; Q 10)'!B2</f>
        <v>1.7018650793650742E-2</v>
      </c>
    </row>
    <row r="5" spans="1:5" x14ac:dyDescent="0.2">
      <c r="A5" s="82"/>
      <c r="B5" s="68"/>
      <c r="D5" s="84" t="s">
        <v>106</v>
      </c>
      <c r="E5" s="85"/>
    </row>
    <row r="6" spans="1:5" x14ac:dyDescent="0.2">
      <c r="A6" s="82" t="s">
        <v>107</v>
      </c>
      <c r="B6" s="70">
        <f>SUM('Q1) CA point mort, payback'!B12:B13)+20000</f>
        <v>236000</v>
      </c>
      <c r="D6" s="161" t="s">
        <v>108</v>
      </c>
      <c r="E6" s="161"/>
    </row>
    <row r="7" spans="1:5" x14ac:dyDescent="0.2">
      <c r="A7" s="82" t="s">
        <v>109</v>
      </c>
      <c r="B7" s="68">
        <f>B2-B4-B6</f>
        <v>288999.99999999953</v>
      </c>
      <c r="D7" s="81" t="s">
        <v>110</v>
      </c>
      <c r="E7" s="68"/>
    </row>
    <row r="8" spans="1:5" x14ac:dyDescent="0.2">
      <c r="A8" s="82" t="s">
        <v>111</v>
      </c>
      <c r="B8" s="68">
        <f>B7/3</f>
        <v>96333.333333333183</v>
      </c>
      <c r="D8" s="81" t="s">
        <v>13</v>
      </c>
      <c r="E8" s="17"/>
    </row>
    <row r="9" spans="1:5" x14ac:dyDescent="0.2">
      <c r="A9" s="82" t="s">
        <v>112</v>
      </c>
      <c r="B9" s="68">
        <f>B7-B8</f>
        <v>192666.66666666634</v>
      </c>
      <c r="D9" s="81" t="s">
        <v>113</v>
      </c>
      <c r="E9" s="68"/>
    </row>
    <row r="10" spans="1:5" x14ac:dyDescent="0.2">
      <c r="A10" s="111" t="s">
        <v>114</v>
      </c>
      <c r="B10" s="112">
        <v>100000</v>
      </c>
      <c r="D10" s="81" t="s">
        <v>115</v>
      </c>
      <c r="E10" s="38"/>
    </row>
    <row r="11" spans="1:5" x14ac:dyDescent="0.2">
      <c r="A11" s="113" t="s">
        <v>116</v>
      </c>
      <c r="B11" s="114">
        <f>B9+20000+'Q1) CA point mort, payback'!B12-B10</f>
        <v>304666.66666666634</v>
      </c>
      <c r="D11" s="115" t="s">
        <v>117</v>
      </c>
      <c r="E11" s="105"/>
    </row>
    <row r="12" spans="1:5" x14ac:dyDescent="0.2">
      <c r="D12" s="115" t="s">
        <v>118</v>
      </c>
      <c r="E12" s="116"/>
    </row>
    <row r="13" spans="1:5" x14ac:dyDescent="0.2">
      <c r="D13" s="81" t="s">
        <v>119</v>
      </c>
      <c r="E13" s="68"/>
    </row>
    <row r="14" spans="1:5" x14ac:dyDescent="0.2">
      <c r="D14" s="81" t="s">
        <v>120</v>
      </c>
      <c r="E14" s="68"/>
    </row>
    <row r="15" spans="1:5" x14ac:dyDescent="0.2">
      <c r="D15" s="83" t="s">
        <v>121</v>
      </c>
      <c r="E15" s="71"/>
    </row>
    <row r="16" spans="1:5" x14ac:dyDescent="0.2">
      <c r="D16" s="84" t="s">
        <v>122</v>
      </c>
      <c r="E16" s="85"/>
    </row>
    <row r="17" spans="4:6" x14ac:dyDescent="0.2">
      <c r="D17" s="117" t="s">
        <v>123</v>
      </c>
      <c r="E17" s="26"/>
    </row>
    <row r="18" spans="4:6" x14ac:dyDescent="0.2">
      <c r="D18" s="84" t="s">
        <v>68</v>
      </c>
      <c r="E18" s="118"/>
    </row>
    <row r="19" spans="4:6" x14ac:dyDescent="0.2">
      <c r="D19" s="119" t="s">
        <v>124</v>
      </c>
      <c r="E19" s="120"/>
    </row>
    <row r="20" spans="4:6" x14ac:dyDescent="0.2">
      <c r="D20" s="161" t="s">
        <v>125</v>
      </c>
      <c r="E20" s="161"/>
    </row>
    <row r="21" spans="4:6" x14ac:dyDescent="0.2">
      <c r="D21" s="81" t="s">
        <v>126</v>
      </c>
      <c r="E21" s="68"/>
    </row>
    <row r="22" spans="4:6" x14ac:dyDescent="0.2">
      <c r="D22" s="81" t="s">
        <v>127</v>
      </c>
      <c r="E22" s="68"/>
    </row>
    <row r="23" spans="4:6" x14ac:dyDescent="0.2">
      <c r="D23" s="81" t="s">
        <v>128</v>
      </c>
      <c r="E23" s="68"/>
    </row>
    <row r="24" spans="4:6" x14ac:dyDescent="0.2">
      <c r="D24" s="22" t="s">
        <v>129</v>
      </c>
      <c r="E24" s="68"/>
    </row>
    <row r="25" spans="4:6" x14ac:dyDescent="0.2">
      <c r="D25" s="22" t="s">
        <v>130</v>
      </c>
      <c r="E25" s="68"/>
    </row>
    <row r="26" spans="4:6" x14ac:dyDescent="0.2">
      <c r="D26" s="8" t="s">
        <v>23</v>
      </c>
      <c r="E26" s="68"/>
    </row>
    <row r="27" spans="4:6" x14ac:dyDescent="0.2">
      <c r="D27" s="8" t="s">
        <v>27</v>
      </c>
      <c r="E27" s="68"/>
    </row>
    <row r="28" spans="4:6" x14ac:dyDescent="0.2">
      <c r="D28" s="30" t="s">
        <v>117</v>
      </c>
      <c r="E28" s="68"/>
    </row>
    <row r="29" spans="4:6" x14ac:dyDescent="0.2">
      <c r="D29" s="30" t="s">
        <v>131</v>
      </c>
      <c r="E29" s="68"/>
    </row>
    <row r="30" spans="4:6" x14ac:dyDescent="0.2">
      <c r="D30" s="30" t="s">
        <v>88</v>
      </c>
      <c r="E30" s="68"/>
    </row>
    <row r="31" spans="4:6" x14ac:dyDescent="0.2">
      <c r="D31" s="30" t="s">
        <v>89</v>
      </c>
      <c r="E31" s="68"/>
    </row>
    <row r="32" spans="4:6" x14ac:dyDescent="0.2">
      <c r="D32" s="52" t="s">
        <v>132</v>
      </c>
      <c r="E32" s="85"/>
      <c r="F32" s="121"/>
    </row>
  </sheetData>
  <mergeCells count="4">
    <mergeCell ref="A1:B1"/>
    <mergeCell ref="D1:E1"/>
    <mergeCell ref="D6:E6"/>
    <mergeCell ref="D20:E20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Q1) CA point mort, payback</vt:lpstr>
      <vt:lpstr>Q2a)Q2b) BFR</vt:lpstr>
      <vt:lpstr>BFR Simulation 30j</vt:lpstr>
      <vt:lpstr>BFR Simulation 45j</vt:lpstr>
      <vt:lpstr>Q3) Q4)CAF 2009 pour 2010 </vt:lpstr>
      <vt:lpstr>Q5) Salaires max</vt:lpstr>
      <vt:lpstr>Q6)Q7)Baisse MP et 90j</vt:lpstr>
      <vt:lpstr>Q8) ; Q9) ; Q 10)</vt:lpstr>
      <vt:lpstr>Print_Area_4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Andréa</cp:lastModifiedBy>
  <cp:revision>0</cp:revision>
  <dcterms:created xsi:type="dcterms:W3CDTF">2011-03-29T08:39:09Z</dcterms:created>
  <dcterms:modified xsi:type="dcterms:W3CDTF">2011-04-04T15:43:41Z</dcterms:modified>
</cp:coreProperties>
</file>