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2" yWindow="36" windowWidth="18372" windowHeight="2676" activeTab="3"/>
  </bookViews>
  <sheets>
    <sheet name="Question 14" sheetId="1" r:id="rId1"/>
    <sheet name="Question 15" sheetId="2" r:id="rId2"/>
    <sheet name="Question 16" sheetId="3" r:id="rId3"/>
    <sheet name="Question 17" sheetId="4" r:id="rId4"/>
  </sheets>
  <calcPr calcId="125725"/>
</workbook>
</file>

<file path=xl/calcChain.xml><?xml version="1.0" encoding="utf-8"?>
<calcChain xmlns="http://schemas.openxmlformats.org/spreadsheetml/2006/main">
  <c r="C22" i="4"/>
  <c r="C21"/>
  <c r="C9"/>
  <c r="F17" i="2"/>
  <c r="C24" i="3"/>
  <c r="C8" i="2" l="1"/>
  <c r="C13" s="1"/>
  <c r="C20" i="4"/>
  <c r="C17"/>
  <c r="G8"/>
  <c r="G7"/>
  <c r="G6"/>
  <c r="G5"/>
  <c r="C21" i="3" l="1"/>
  <c r="C11"/>
  <c r="J9"/>
  <c r="J6"/>
  <c r="J7"/>
  <c r="J8"/>
  <c r="H6"/>
  <c r="H7"/>
  <c r="H8"/>
  <c r="H5"/>
  <c r="C17"/>
  <c r="C9"/>
  <c r="G8"/>
  <c r="G7"/>
  <c r="G6"/>
  <c r="J5"/>
  <c r="G5"/>
  <c r="I12" i="1" l="1"/>
  <c r="N12"/>
  <c r="Q12"/>
  <c r="F5"/>
  <c r="F12" s="1"/>
  <c r="G5"/>
  <c r="G12" s="1"/>
  <c r="H5"/>
  <c r="H12" s="1"/>
  <c r="I5"/>
  <c r="K5"/>
  <c r="K12" s="1"/>
  <c r="N5"/>
  <c r="O5"/>
  <c r="O12" s="1"/>
  <c r="P5"/>
  <c r="P12" s="1"/>
  <c r="Q5"/>
  <c r="R5"/>
  <c r="E5"/>
  <c r="O20"/>
  <c r="D22"/>
  <c r="G20" s="1"/>
  <c r="G6"/>
  <c r="H6" s="1"/>
  <c r="I6" s="1"/>
  <c r="J6" s="1"/>
  <c r="K6" s="1"/>
  <c r="L6" s="1"/>
  <c r="F6"/>
  <c r="E6"/>
  <c r="M3"/>
  <c r="M5" s="1"/>
  <c r="L3"/>
  <c r="L5" s="1"/>
  <c r="L12" s="1"/>
  <c r="J3"/>
  <c r="J5" s="1"/>
  <c r="J12" s="1"/>
  <c r="H3"/>
  <c r="R10"/>
  <c r="R12" s="1"/>
  <c r="M10"/>
  <c r="E10"/>
  <c r="E11" s="1"/>
  <c r="F11" s="1"/>
  <c r="G11" s="1"/>
  <c r="H11" s="1"/>
  <c r="I11" s="1"/>
  <c r="J11" s="1"/>
  <c r="K11" s="1"/>
  <c r="L11" s="1"/>
  <c r="D7"/>
  <c r="M12" l="1"/>
  <c r="E12"/>
  <c r="G21"/>
  <c r="H21" s="1"/>
  <c r="I21" s="1"/>
  <c r="J21" s="1"/>
  <c r="K21" s="1"/>
  <c r="L21" s="1"/>
  <c r="M21" s="1"/>
  <c r="N21" s="1"/>
  <c r="O21" s="1"/>
  <c r="P21" s="1"/>
  <c r="Q21" s="1"/>
  <c r="R21" s="1"/>
  <c r="M6"/>
  <c r="N6" s="1"/>
  <c r="O6" s="1"/>
  <c r="P6" s="1"/>
  <c r="Q6" s="1"/>
  <c r="R6" s="1"/>
  <c r="M11"/>
  <c r="N11" s="1"/>
  <c r="O11" s="1"/>
  <c r="P11" s="1"/>
  <c r="Q11" s="1"/>
  <c r="R11" s="1"/>
  <c r="E13"/>
  <c r="F13" s="1"/>
  <c r="F15" l="1"/>
  <c r="F16" s="1"/>
  <c r="G13"/>
  <c r="H13" l="1"/>
  <c r="G15"/>
  <c r="G16" s="1"/>
  <c r="I13" l="1"/>
  <c r="H15"/>
  <c r="H16" s="1"/>
  <c r="J13" l="1"/>
  <c r="I15"/>
  <c r="I16" s="1"/>
  <c r="K13" l="1"/>
  <c r="J15"/>
  <c r="J16" s="1"/>
  <c r="L13" l="1"/>
  <c r="K15"/>
  <c r="K16" s="1"/>
  <c r="M13" l="1"/>
  <c r="L15"/>
  <c r="L16" s="1"/>
  <c r="N13" l="1"/>
  <c r="M15"/>
  <c r="M16" s="1"/>
  <c r="O13" l="1"/>
  <c r="N15"/>
  <c r="N16" s="1"/>
  <c r="P13" l="1"/>
  <c r="O15"/>
  <c r="O16" s="1"/>
  <c r="Q13" l="1"/>
  <c r="P15"/>
  <c r="P16" s="1"/>
  <c r="R13" l="1"/>
  <c r="Q15"/>
  <c r="Q16" s="1"/>
  <c r="R16" s="1"/>
  <c r="H6" i="4"/>
  <c r="J6" s="1"/>
  <c r="H5"/>
  <c r="J5" s="1"/>
  <c r="H7"/>
  <c r="J7" s="1"/>
  <c r="H8"/>
  <c r="J8" s="1"/>
  <c r="F15" i="2" l="1"/>
  <c r="F16" s="1"/>
  <c r="F18" s="1"/>
  <c r="J9" i="4"/>
</calcChain>
</file>

<file path=xl/sharedStrings.xml><?xml version="1.0" encoding="utf-8"?>
<sst xmlns="http://schemas.openxmlformats.org/spreadsheetml/2006/main" count="135" uniqueCount="78">
  <si>
    <t>Dépenses mensuelles</t>
  </si>
  <si>
    <t>Dépenses cumulées</t>
  </si>
  <si>
    <t>Marge en % du PV</t>
  </si>
  <si>
    <t>Factuation</t>
  </si>
  <si>
    <t>Recettes mensuelles</t>
  </si>
  <si>
    <t>Recettes cumulées</t>
  </si>
  <si>
    <t>Solde trésorerie</t>
  </si>
  <si>
    <t>Taux financier par an</t>
  </si>
  <si>
    <t>Frais financiers mensuels</t>
  </si>
  <si>
    <t>Cumul frais financiers</t>
  </si>
  <si>
    <t>à completer</t>
  </si>
  <si>
    <t>Mai</t>
  </si>
  <si>
    <t>Juin</t>
  </si>
  <si>
    <t>Juillet</t>
  </si>
  <si>
    <t>Septembre</t>
  </si>
  <si>
    <t>Octobre</t>
  </si>
  <si>
    <t>Novembre</t>
  </si>
  <si>
    <t>Décembre</t>
  </si>
  <si>
    <t>Janvier</t>
  </si>
  <si>
    <t>Fevrier</t>
  </si>
  <si>
    <t>Mars</t>
  </si>
  <si>
    <t>Août</t>
  </si>
  <si>
    <t xml:space="preserve">Avril </t>
  </si>
  <si>
    <t>Trésorerie mensuelle</t>
  </si>
  <si>
    <t>Reglement à 90 Jours</t>
  </si>
  <si>
    <t>Reglement à 60 Jours</t>
  </si>
  <si>
    <t>Coût sous-traitance</t>
  </si>
  <si>
    <t>Dépenses mensuelles Hors ST</t>
  </si>
  <si>
    <t>Paiement ST</t>
  </si>
  <si>
    <t>Dépenses mensuelles cumulées</t>
  </si>
  <si>
    <t>Dépenses mensuelles Avec ST</t>
  </si>
  <si>
    <t>Marge Bénéficiaire (20%)</t>
  </si>
  <si>
    <t>Coefficients</t>
  </si>
  <si>
    <t>Nb théorique jours travaillés</t>
  </si>
  <si>
    <t>Unité d'œuvre</t>
  </si>
  <si>
    <t>SBM</t>
  </si>
  <si>
    <t>SBMA</t>
  </si>
  <si>
    <t>Nombres d'heures NH</t>
  </si>
  <si>
    <t>TH x NH</t>
  </si>
  <si>
    <t>Coefficient de présence</t>
  </si>
  <si>
    <t xml:space="preserve">ING DI </t>
  </si>
  <si>
    <t>Coefficient de facturabilité</t>
  </si>
  <si>
    <t>TECH DI</t>
  </si>
  <si>
    <t>Charges patronales k1</t>
  </si>
  <si>
    <t xml:space="preserve">ING DE </t>
  </si>
  <si>
    <t>Charges indirects k2/k3</t>
  </si>
  <si>
    <t>TEC DE</t>
  </si>
  <si>
    <t>Kc</t>
  </si>
  <si>
    <t>Total</t>
  </si>
  <si>
    <t>Kh</t>
  </si>
  <si>
    <t>PV Projet</t>
  </si>
  <si>
    <t>Sous Traitance</t>
  </si>
  <si>
    <t>voir tableau 1</t>
  </si>
  <si>
    <t>Achats</t>
  </si>
  <si>
    <t>APPRO</t>
  </si>
  <si>
    <t>FD</t>
  </si>
  <si>
    <t>AMORT</t>
  </si>
  <si>
    <t>FF</t>
  </si>
  <si>
    <t>Marge bénéficiaire</t>
  </si>
  <si>
    <t>PV avec Marge</t>
  </si>
  <si>
    <t>²</t>
  </si>
  <si>
    <t>Nouveau Kc</t>
  </si>
  <si>
    <t>Justification pour le nouveau PV après FF</t>
  </si>
  <si>
    <t>Nouveau MOD</t>
  </si>
  <si>
    <t>SMBA / Kh</t>
  </si>
  <si>
    <t>MOD</t>
  </si>
  <si>
    <t>Taux horaires TH</t>
  </si>
  <si>
    <t>Avant Frais financiers</t>
  </si>
  <si>
    <t>Les frais financiers sont couverts avec l'augmentation de Kc</t>
  </si>
  <si>
    <t>PV APPRO</t>
  </si>
  <si>
    <t>Non pris en compte</t>
  </si>
  <si>
    <t>APPRO avec marge de 5%</t>
  </si>
  <si>
    <t>Prix de vente avec marge</t>
  </si>
  <si>
    <t>Somme (SMBAi x Nhi)/Kh</t>
  </si>
  <si>
    <t>Question : De combien il faut augmenter KC et donc les taux horaires pour que les frais financiers soient nulles (pris en compte dans Kc +TH)
Autrement dit, répartir 18 500,88 € dans le coût de la main d'œuvre
Le nouveau coût de la main d'œuvre est donc de 522 400 € + 18 500, 88 € = 540 900, 88 €
On pose Kc x SOMME (SMBAi x NHi)/Kh = 540 900, 88 
donc on en déuit Kc</t>
  </si>
  <si>
    <t>% de Marge bénéficiaire</t>
  </si>
  <si>
    <t>% FF de la MB</t>
  </si>
  <si>
    <t>s</t>
  </si>
</sst>
</file>

<file path=xl/styles.xml><?xml version="1.0" encoding="utf-8"?>
<styleSheet xmlns="http://schemas.openxmlformats.org/spreadsheetml/2006/main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0.0"/>
    <numFmt numFmtId="166" formatCode="#,##0.00\ &quot;€&quot;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0" fillId="0" borderId="1" xfId="0" applyBorder="1"/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3" borderId="11" xfId="0" applyFill="1" applyBorder="1" applyAlignment="1"/>
    <xf numFmtId="0" fontId="0" fillId="3" borderId="12" xfId="0" applyFill="1" applyBorder="1" applyAlignment="1"/>
    <xf numFmtId="0" fontId="0" fillId="3" borderId="13" xfId="0" applyFill="1" applyBorder="1" applyAlignment="1"/>
    <xf numFmtId="0" fontId="0" fillId="3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7" borderId="8" xfId="0" applyFill="1" applyBorder="1" applyAlignment="1">
      <alignment horizontal="left"/>
    </xf>
    <xf numFmtId="0" fontId="0" fillId="4" borderId="23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9" fontId="0" fillId="8" borderId="2" xfId="0" applyNumberFormat="1" applyFill="1" applyBorder="1" applyAlignment="1">
      <alignment horizontal="center"/>
    </xf>
    <xf numFmtId="8" fontId="0" fillId="5" borderId="2" xfId="0" applyNumberFormat="1" applyFill="1" applyBorder="1" applyAlignment="1">
      <alignment horizontal="center"/>
    </xf>
    <xf numFmtId="9" fontId="0" fillId="7" borderId="14" xfId="0" applyNumberFormat="1" applyFill="1" applyBorder="1" applyAlignment="1">
      <alignment horizontal="center"/>
    </xf>
    <xf numFmtId="9" fontId="0" fillId="8" borderId="14" xfId="0" applyNumberFormat="1" applyFill="1" applyBorder="1" applyAlignment="1">
      <alignment horizontal="center"/>
    </xf>
    <xf numFmtId="8" fontId="0" fillId="5" borderId="14" xfId="0" applyNumberFormat="1" applyFill="1" applyBorder="1" applyAlignment="1">
      <alignment horizontal="center"/>
    </xf>
    <xf numFmtId="0" fontId="0" fillId="7" borderId="14" xfId="0" applyFill="1" applyBorder="1" applyAlignment="1"/>
    <xf numFmtId="0" fontId="0" fillId="7" borderId="15" xfId="0" applyFill="1" applyBorder="1" applyAlignment="1"/>
    <xf numFmtId="0" fontId="0" fillId="7" borderId="16" xfId="0" applyFill="1" applyBorder="1" applyAlignment="1"/>
    <xf numFmtId="8" fontId="0" fillId="5" borderId="2" xfId="0" applyNumberFormat="1" applyFill="1" applyBorder="1"/>
    <xf numFmtId="8" fontId="0" fillId="5" borderId="14" xfId="0" applyNumberFormat="1" applyFill="1" applyBorder="1"/>
    <xf numFmtId="0" fontId="0" fillId="5" borderId="13" xfId="0" applyFill="1" applyBorder="1"/>
    <xf numFmtId="8" fontId="2" fillId="9" borderId="2" xfId="0" applyNumberFormat="1" applyFont="1" applyFill="1" applyBorder="1" applyAlignment="1">
      <alignment horizontal="center"/>
    </xf>
    <xf numFmtId="0" fontId="0" fillId="8" borderId="1" xfId="0" applyFill="1" applyBorder="1"/>
    <xf numFmtId="9" fontId="0" fillId="8" borderId="15" xfId="0" applyNumberFormat="1" applyFill="1" applyBorder="1" applyAlignment="1">
      <alignment horizontal="center"/>
    </xf>
    <xf numFmtId="8" fontId="0" fillId="8" borderId="2" xfId="0" applyNumberFormat="1" applyFill="1" applyBorder="1" applyAlignment="1">
      <alignment horizontal="center"/>
    </xf>
    <xf numFmtId="8" fontId="0" fillId="8" borderId="14" xfId="0" applyNumberFormat="1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9" fontId="0" fillId="8" borderId="12" xfId="2" applyFon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164" fontId="0" fillId="5" borderId="14" xfId="0" applyNumberFormat="1" applyFill="1" applyBorder="1" applyAlignment="1">
      <alignment horizontal="center"/>
    </xf>
    <xf numFmtId="164" fontId="0" fillId="8" borderId="2" xfId="1" applyNumberFormat="1" applyFont="1" applyFill="1" applyBorder="1" applyAlignment="1">
      <alignment horizontal="center"/>
    </xf>
    <xf numFmtId="44" fontId="6" fillId="10" borderId="2" xfId="3" applyFont="1" applyFill="1" applyBorder="1"/>
    <xf numFmtId="44" fontId="8" fillId="10" borderId="2" xfId="3" applyFont="1" applyFill="1" applyBorder="1"/>
    <xf numFmtId="164" fontId="8" fillId="10" borderId="2" xfId="0" applyNumberFormat="1" applyFont="1" applyFill="1" applyBorder="1"/>
    <xf numFmtId="0" fontId="0" fillId="13" borderId="2" xfId="0" applyFill="1" applyBorder="1"/>
    <xf numFmtId="0" fontId="0" fillId="15" borderId="2" xfId="0" applyFill="1" applyBorder="1"/>
    <xf numFmtId="165" fontId="0" fillId="15" borderId="2" xfId="0" applyNumberFormat="1" applyFill="1" applyBorder="1"/>
    <xf numFmtId="0" fontId="0" fillId="12" borderId="2" xfId="0" applyFill="1" applyBorder="1"/>
    <xf numFmtId="0" fontId="7" fillId="13" borderId="2" xfId="0" applyFont="1" applyFill="1" applyBorder="1"/>
    <xf numFmtId="44" fontId="7" fillId="15" borderId="2" xfId="3" applyFont="1" applyFill="1" applyBorder="1"/>
    <xf numFmtId="44" fontId="0" fillId="15" borderId="2" xfId="3" applyFont="1" applyFill="1" applyBorder="1"/>
    <xf numFmtId="0" fontId="5" fillId="15" borderId="2" xfId="0" applyFont="1" applyFill="1" applyBorder="1"/>
    <xf numFmtId="0" fontId="0" fillId="5" borderId="2" xfId="0" applyFill="1" applyBorder="1"/>
    <xf numFmtId="164" fontId="0" fillId="15" borderId="2" xfId="0" applyNumberFormat="1" applyFill="1" applyBorder="1"/>
    <xf numFmtId="164" fontId="0" fillId="5" borderId="2" xfId="0" applyNumberFormat="1" applyFill="1" applyBorder="1"/>
    <xf numFmtId="0" fontId="0" fillId="13" borderId="2" xfId="0" applyFont="1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0" fontId="9" fillId="15" borderId="2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10" fillId="9" borderId="2" xfId="0" applyFont="1" applyFill="1" applyBorder="1" applyAlignment="1">
      <alignment horizontal="center"/>
    </xf>
    <xf numFmtId="165" fontId="10" fillId="9" borderId="2" xfId="0" applyNumberFormat="1" applyFont="1" applyFill="1" applyBorder="1" applyAlignment="1">
      <alignment horizontal="center"/>
    </xf>
    <xf numFmtId="0" fontId="5" fillId="15" borderId="2" xfId="0" applyFont="1" applyFill="1" applyBorder="1" applyAlignment="1">
      <alignment horizontal="center"/>
    </xf>
    <xf numFmtId="0" fontId="0" fillId="15" borderId="2" xfId="3" applyNumberFormat="1" applyFont="1" applyFill="1" applyBorder="1"/>
    <xf numFmtId="0" fontId="0" fillId="15" borderId="2" xfId="3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0" fontId="4" fillId="14" borderId="2" xfId="0" applyFont="1" applyFill="1" applyBorder="1" applyAlignment="1">
      <alignment horizontal="center"/>
    </xf>
    <xf numFmtId="1" fontId="4" fillId="15" borderId="2" xfId="0" applyNumberFormat="1" applyFont="1" applyFill="1" applyBorder="1"/>
    <xf numFmtId="44" fontId="0" fillId="0" borderId="0" xfId="0" applyNumberFormat="1"/>
    <xf numFmtId="0" fontId="7" fillId="11" borderId="2" xfId="0" applyFont="1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2" fontId="0" fillId="0" borderId="0" xfId="0" applyNumberFormat="1"/>
    <xf numFmtId="2" fontId="0" fillId="15" borderId="2" xfId="0" applyNumberFormat="1" applyFont="1" applyFill="1" applyBorder="1"/>
    <xf numFmtId="0" fontId="3" fillId="9" borderId="2" xfId="0" applyFont="1" applyFill="1" applyBorder="1" applyAlignment="1">
      <alignment horizontal="center"/>
    </xf>
    <xf numFmtId="165" fontId="11" fillId="15" borderId="2" xfId="0" applyNumberFormat="1" applyFont="1" applyFill="1" applyBorder="1"/>
    <xf numFmtId="0" fontId="0" fillId="15" borderId="2" xfId="0" applyFill="1" applyBorder="1" applyAlignment="1">
      <alignment horizontal="center" wrapText="1"/>
    </xf>
    <xf numFmtId="0" fontId="0" fillId="11" borderId="2" xfId="0" applyFill="1" applyBorder="1" applyAlignment="1">
      <alignment horizontal="center" wrapText="1"/>
    </xf>
    <xf numFmtId="166" fontId="8" fillId="10" borderId="2" xfId="0" applyNumberFormat="1" applyFont="1" applyFill="1" applyBorder="1"/>
    <xf numFmtId="166" fontId="0" fillId="15" borderId="2" xfId="0" applyNumberFormat="1" applyFill="1" applyBorder="1" applyAlignment="1"/>
    <xf numFmtId="166" fontId="0" fillId="15" borderId="2" xfId="3" applyNumberFormat="1" applyFont="1" applyFill="1" applyBorder="1" applyAlignment="1">
      <alignment horizontal="right"/>
    </xf>
    <xf numFmtId="166" fontId="7" fillId="15" borderId="2" xfId="3" applyNumberFormat="1" applyFont="1" applyFill="1" applyBorder="1" applyAlignment="1">
      <alignment horizontal="right"/>
    </xf>
    <xf numFmtId="166" fontId="8" fillId="10" borderId="2" xfId="3" applyNumberFormat="1" applyFont="1" applyFill="1" applyBorder="1" applyAlignment="1">
      <alignment horizontal="right"/>
    </xf>
    <xf numFmtId="0" fontId="0" fillId="3" borderId="2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0" fillId="1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12" borderId="2" xfId="0" applyFont="1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6" fillId="16" borderId="14" xfId="0" applyFont="1" applyFill="1" applyBorder="1" applyAlignment="1">
      <alignment horizontal="center"/>
    </xf>
    <xf numFmtId="0" fontId="6" fillId="16" borderId="15" xfId="0" applyFont="1" applyFill="1" applyBorder="1" applyAlignment="1">
      <alignment horizontal="center"/>
    </xf>
    <xf numFmtId="0" fontId="6" fillId="16" borderId="16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44" fontId="7" fillId="15" borderId="2" xfId="3" applyFont="1" applyFill="1" applyBorder="1" applyAlignment="1">
      <alignment horizontal="center"/>
    </xf>
    <xf numFmtId="44" fontId="0" fillId="15" borderId="2" xfId="3" applyFont="1" applyFill="1" applyBorder="1" applyAlignment="1">
      <alignment horizontal="center"/>
    </xf>
    <xf numFmtId="8" fontId="0" fillId="15" borderId="2" xfId="0" applyNumberFormat="1" applyFill="1" applyBorder="1" applyAlignment="1">
      <alignment horizontal="center"/>
    </xf>
    <xf numFmtId="0" fontId="12" fillId="4" borderId="14" xfId="0" applyFont="1" applyFill="1" applyBorder="1" applyAlignment="1">
      <alignment horizontal="center"/>
    </xf>
    <xf numFmtId="0" fontId="12" fillId="4" borderId="15" xfId="0" applyFont="1" applyFill="1" applyBorder="1" applyAlignment="1">
      <alignment horizontal="center"/>
    </xf>
    <xf numFmtId="0" fontId="12" fillId="4" borderId="16" xfId="0" applyFont="1" applyFill="1" applyBorder="1" applyAlignment="1">
      <alignment horizontal="center"/>
    </xf>
  </cellXfs>
  <cellStyles count="4">
    <cellStyle name="Milliers" xfId="1" builtinId="3"/>
    <cellStyle name="Monétaire" xfId="3" builtinId="4"/>
    <cellStyle name="Normal" xfId="0" builtinId="0"/>
    <cellStyle name="Pourcentage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S24"/>
  <sheetViews>
    <sheetView topLeftCell="C1" zoomScale="86" zoomScaleNormal="86" workbookViewId="0">
      <selection activeCell="R16" sqref="C2:R16"/>
    </sheetView>
  </sheetViews>
  <sheetFormatPr baseColWidth="10" defaultRowHeight="14.4"/>
  <cols>
    <col min="1" max="1" width="2" customWidth="1"/>
    <col min="2" max="2" width="21" customWidth="1"/>
    <col min="3" max="3" width="33.33203125" customWidth="1"/>
    <col min="4" max="4" width="14.33203125" customWidth="1"/>
    <col min="5" max="6" width="11.88671875" bestFit="1" customWidth="1"/>
    <col min="7" max="8" width="12.109375" bestFit="1" customWidth="1"/>
    <col min="9" max="10" width="16.88671875" customWidth="1"/>
    <col min="11" max="11" width="15" customWidth="1"/>
    <col min="12" max="12" width="14.88671875" customWidth="1"/>
    <col min="13" max="14" width="13.33203125" customWidth="1"/>
    <col min="15" max="15" width="14" customWidth="1"/>
    <col min="16" max="16" width="13.44140625" customWidth="1"/>
    <col min="17" max="17" width="13.5546875" customWidth="1"/>
    <col min="18" max="18" width="15.5546875" customWidth="1"/>
  </cols>
  <sheetData>
    <row r="1" spans="2:19" ht="15" thickBot="1"/>
    <row r="2" spans="2:19" ht="15" thickBot="1">
      <c r="B2" s="29"/>
      <c r="C2" s="1" t="s">
        <v>24</v>
      </c>
      <c r="D2" s="4" t="s">
        <v>10</v>
      </c>
      <c r="E2" s="2" t="s">
        <v>11</v>
      </c>
      <c r="F2" s="3" t="s">
        <v>12</v>
      </c>
      <c r="G2" s="3" t="s">
        <v>13</v>
      </c>
      <c r="H2" s="3" t="s">
        <v>21</v>
      </c>
      <c r="I2" s="3" t="s">
        <v>14</v>
      </c>
      <c r="J2" s="3" t="s">
        <v>15</v>
      </c>
      <c r="K2" s="3" t="s">
        <v>16</v>
      </c>
      <c r="L2" s="3" t="s">
        <v>17</v>
      </c>
      <c r="M2" s="3" t="s">
        <v>18</v>
      </c>
      <c r="N2" s="3" t="s">
        <v>19</v>
      </c>
      <c r="O2" s="13" t="s">
        <v>20</v>
      </c>
      <c r="P2" s="14" t="s">
        <v>22</v>
      </c>
      <c r="Q2" s="15" t="s">
        <v>11</v>
      </c>
      <c r="R2" s="16" t="s">
        <v>12</v>
      </c>
    </row>
    <row r="3" spans="2:19">
      <c r="C3" s="10" t="s">
        <v>27</v>
      </c>
      <c r="D3" s="79"/>
      <c r="E3" s="31">
        <v>15500</v>
      </c>
      <c r="F3" s="31">
        <v>71600</v>
      </c>
      <c r="G3" s="31">
        <v>112340</v>
      </c>
      <c r="H3" s="31">
        <f>122560-1500</f>
        <v>121060</v>
      </c>
      <c r="I3" s="31">
        <v>78280</v>
      </c>
      <c r="J3" s="31">
        <f>85620-40000</f>
        <v>45620</v>
      </c>
      <c r="K3" s="31">
        <v>16000</v>
      </c>
      <c r="L3" s="31">
        <f>30000-30000</f>
        <v>0</v>
      </c>
      <c r="M3" s="31">
        <f>50000-50000</f>
        <v>0</v>
      </c>
      <c r="N3" s="31">
        <v>12400</v>
      </c>
      <c r="O3" s="32">
        <v>49600</v>
      </c>
      <c r="P3" s="33">
        <v>0</v>
      </c>
      <c r="Q3" s="33">
        <v>0</v>
      </c>
      <c r="R3" s="33">
        <v>0</v>
      </c>
    </row>
    <row r="4" spans="2:19">
      <c r="C4" s="11" t="s">
        <v>28</v>
      </c>
      <c r="D4" s="79"/>
      <c r="E4" s="31">
        <v>0</v>
      </c>
      <c r="F4" s="31">
        <v>0</v>
      </c>
      <c r="G4" s="31">
        <v>24300</v>
      </c>
      <c r="H4" s="31">
        <v>0</v>
      </c>
      <c r="I4" s="31">
        <v>0</v>
      </c>
      <c r="J4" s="31">
        <v>0</v>
      </c>
      <c r="K4" s="31">
        <v>0</v>
      </c>
      <c r="L4" s="31">
        <v>0</v>
      </c>
      <c r="M4" s="31">
        <v>0</v>
      </c>
      <c r="N4" s="31">
        <v>0</v>
      </c>
      <c r="O4" s="32">
        <v>97200</v>
      </c>
      <c r="P4" s="31">
        <v>0</v>
      </c>
      <c r="Q4" s="31">
        <v>0</v>
      </c>
      <c r="R4" s="31">
        <v>0</v>
      </c>
    </row>
    <row r="5" spans="2:19">
      <c r="C5" s="11" t="s">
        <v>30</v>
      </c>
      <c r="D5" s="8"/>
      <c r="E5" s="31">
        <f>E3+E4</f>
        <v>15500</v>
      </c>
      <c r="F5" s="31">
        <f t="shared" ref="F5:R5" si="0">F3+F4</f>
        <v>71600</v>
      </c>
      <c r="G5" s="31">
        <f t="shared" si="0"/>
        <v>136640</v>
      </c>
      <c r="H5" s="31">
        <f t="shared" si="0"/>
        <v>121060</v>
      </c>
      <c r="I5" s="31">
        <f t="shared" si="0"/>
        <v>78280</v>
      </c>
      <c r="J5" s="31">
        <f t="shared" si="0"/>
        <v>45620</v>
      </c>
      <c r="K5" s="31">
        <f t="shared" si="0"/>
        <v>16000</v>
      </c>
      <c r="L5" s="31">
        <f t="shared" si="0"/>
        <v>0</v>
      </c>
      <c r="M5" s="31">
        <f t="shared" si="0"/>
        <v>0</v>
      </c>
      <c r="N5" s="31">
        <f t="shared" si="0"/>
        <v>12400</v>
      </c>
      <c r="O5" s="31">
        <f t="shared" si="0"/>
        <v>146800</v>
      </c>
      <c r="P5" s="31">
        <f t="shared" si="0"/>
        <v>0</v>
      </c>
      <c r="Q5" s="31">
        <f t="shared" si="0"/>
        <v>0</v>
      </c>
      <c r="R5" s="31">
        <f t="shared" si="0"/>
        <v>0</v>
      </c>
    </row>
    <row r="6" spans="2:19">
      <c r="C6" s="11" t="s">
        <v>29</v>
      </c>
      <c r="D6" s="8"/>
      <c r="E6" s="31">
        <f>E4+E3</f>
        <v>15500</v>
      </c>
      <c r="F6" s="31">
        <f>E6+F3+F4</f>
        <v>87100</v>
      </c>
      <c r="G6" s="31">
        <f>F6+G3+G4</f>
        <v>223740</v>
      </c>
      <c r="H6" s="31">
        <f t="shared" ref="H6:R6" si="1">G6+H3+H4</f>
        <v>344800</v>
      </c>
      <c r="I6" s="31">
        <f t="shared" si="1"/>
        <v>423080</v>
      </c>
      <c r="J6" s="31">
        <f t="shared" si="1"/>
        <v>468700</v>
      </c>
      <c r="K6" s="31">
        <f t="shared" si="1"/>
        <v>484700</v>
      </c>
      <c r="L6" s="31">
        <f t="shared" si="1"/>
        <v>484700</v>
      </c>
      <c r="M6" s="31">
        <f t="shared" si="1"/>
        <v>484700</v>
      </c>
      <c r="N6" s="31">
        <f t="shared" si="1"/>
        <v>497100</v>
      </c>
      <c r="O6" s="31">
        <f t="shared" si="1"/>
        <v>643900</v>
      </c>
      <c r="P6" s="31">
        <f t="shared" si="1"/>
        <v>643900</v>
      </c>
      <c r="Q6" s="31">
        <f t="shared" si="1"/>
        <v>643900</v>
      </c>
      <c r="R6" s="31">
        <f t="shared" si="1"/>
        <v>643900</v>
      </c>
    </row>
    <row r="7" spans="2:19">
      <c r="C7" s="11" t="s">
        <v>2</v>
      </c>
      <c r="D7" s="17">
        <f>20%</f>
        <v>0.2</v>
      </c>
      <c r="E7" s="88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90"/>
    </row>
    <row r="8" spans="2:19">
      <c r="C8" s="12" t="s">
        <v>72</v>
      </c>
      <c r="D8" s="64">
        <v>1264375</v>
      </c>
      <c r="E8" s="82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4"/>
    </row>
    <row r="9" spans="2:19">
      <c r="C9" s="12" t="s">
        <v>3</v>
      </c>
      <c r="D9" s="5"/>
      <c r="E9" s="17">
        <v>0.05</v>
      </c>
      <c r="F9" s="85"/>
      <c r="G9" s="86"/>
      <c r="H9" s="86"/>
      <c r="I9" s="87"/>
      <c r="J9" s="17">
        <v>0.3</v>
      </c>
      <c r="K9" s="85"/>
      <c r="L9" s="86"/>
      <c r="M9" s="86"/>
      <c r="N9" s="87"/>
      <c r="O9" s="20">
        <v>0.65</v>
      </c>
      <c r="P9" s="85"/>
      <c r="Q9" s="86"/>
      <c r="R9" s="87"/>
    </row>
    <row r="10" spans="2:19">
      <c r="C10" s="11" t="s">
        <v>4</v>
      </c>
      <c r="D10" s="6"/>
      <c r="E10" s="35">
        <f>E9*D8</f>
        <v>63218.75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f>J9*D8</f>
        <v>379312.5</v>
      </c>
      <c r="N10" s="35">
        <v>0</v>
      </c>
      <c r="O10" s="36">
        <v>0</v>
      </c>
      <c r="P10" s="35">
        <v>0</v>
      </c>
      <c r="Q10" s="35">
        <v>0</v>
      </c>
      <c r="R10" s="35">
        <f>O9*D8</f>
        <v>821843.75</v>
      </c>
    </row>
    <row r="11" spans="2:19">
      <c r="C11" s="11" t="s">
        <v>5</v>
      </c>
      <c r="D11" s="6"/>
      <c r="E11" s="35">
        <f>E10</f>
        <v>63218.75</v>
      </c>
      <c r="F11" s="35">
        <f>E11+F10</f>
        <v>63218.75</v>
      </c>
      <c r="G11" s="35">
        <f>F11+G10</f>
        <v>63218.75</v>
      </c>
      <c r="H11" s="35">
        <f>G11+H10</f>
        <v>63218.75</v>
      </c>
      <c r="I11" s="35">
        <f>H11+I10</f>
        <v>63218.75</v>
      </c>
      <c r="J11" s="35">
        <f>I11</f>
        <v>63218.75</v>
      </c>
      <c r="K11" s="35">
        <f t="shared" ref="K11:L11" si="2">J11</f>
        <v>63218.75</v>
      </c>
      <c r="L11" s="35">
        <f t="shared" si="2"/>
        <v>63218.75</v>
      </c>
      <c r="M11" s="35">
        <f t="shared" ref="M11:R11" si="3">L11+M10</f>
        <v>442531.25</v>
      </c>
      <c r="N11" s="35">
        <f t="shared" si="3"/>
        <v>442531.25</v>
      </c>
      <c r="O11" s="36">
        <f t="shared" si="3"/>
        <v>442531.25</v>
      </c>
      <c r="P11" s="35">
        <f t="shared" si="3"/>
        <v>442531.25</v>
      </c>
      <c r="Q11" s="35">
        <f t="shared" si="3"/>
        <v>442531.25</v>
      </c>
      <c r="R11" s="35">
        <f t="shared" si="3"/>
        <v>1264375</v>
      </c>
    </row>
    <row r="12" spans="2:19">
      <c r="C12" s="11" t="s">
        <v>23</v>
      </c>
      <c r="D12" s="6"/>
      <c r="E12" s="18">
        <f>E10-E3</f>
        <v>47718.75</v>
      </c>
      <c r="F12" s="18">
        <f>F10-F5</f>
        <v>-71600</v>
      </c>
      <c r="G12" s="18">
        <f t="shared" ref="G12:R12" si="4">G10-G5</f>
        <v>-136640</v>
      </c>
      <c r="H12" s="18">
        <f t="shared" si="4"/>
        <v>-121060</v>
      </c>
      <c r="I12" s="18">
        <f t="shared" si="4"/>
        <v>-78280</v>
      </c>
      <c r="J12" s="18">
        <f t="shared" si="4"/>
        <v>-45620</v>
      </c>
      <c r="K12" s="18">
        <f t="shared" si="4"/>
        <v>-16000</v>
      </c>
      <c r="L12" s="18">
        <f t="shared" si="4"/>
        <v>0</v>
      </c>
      <c r="M12" s="18">
        <f t="shared" si="4"/>
        <v>379312.5</v>
      </c>
      <c r="N12" s="18">
        <f t="shared" si="4"/>
        <v>-12400</v>
      </c>
      <c r="O12" s="18">
        <f t="shared" si="4"/>
        <v>-146800</v>
      </c>
      <c r="P12" s="18">
        <f t="shared" si="4"/>
        <v>0</v>
      </c>
      <c r="Q12" s="18">
        <f t="shared" si="4"/>
        <v>0</v>
      </c>
      <c r="R12" s="18">
        <f t="shared" si="4"/>
        <v>821843.75</v>
      </c>
    </row>
    <row r="13" spans="2:19">
      <c r="C13" s="11" t="s">
        <v>6</v>
      </c>
      <c r="D13" s="7"/>
      <c r="E13" s="18">
        <f>E12</f>
        <v>47718.75</v>
      </c>
      <c r="F13" s="18">
        <f>E13+F12</f>
        <v>-23881.25</v>
      </c>
      <c r="G13" s="18">
        <f t="shared" ref="G13:R13" si="5">F13+G12</f>
        <v>-160521.25</v>
      </c>
      <c r="H13" s="18">
        <f t="shared" si="5"/>
        <v>-281581.25</v>
      </c>
      <c r="I13" s="18">
        <f t="shared" si="5"/>
        <v>-359861.25</v>
      </c>
      <c r="J13" s="18">
        <f t="shared" si="5"/>
        <v>-405481.25</v>
      </c>
      <c r="K13" s="18">
        <f t="shared" si="5"/>
        <v>-421481.25</v>
      </c>
      <c r="L13" s="18">
        <f t="shared" si="5"/>
        <v>-421481.25</v>
      </c>
      <c r="M13" s="18">
        <f t="shared" si="5"/>
        <v>-42168.75</v>
      </c>
      <c r="N13" s="18">
        <f t="shared" si="5"/>
        <v>-54568.75</v>
      </c>
      <c r="O13" s="18">
        <f t="shared" si="5"/>
        <v>-201368.75</v>
      </c>
      <c r="P13" s="18">
        <f t="shared" si="5"/>
        <v>-201368.75</v>
      </c>
      <c r="Q13" s="18">
        <f t="shared" si="5"/>
        <v>-201368.75</v>
      </c>
      <c r="R13" s="28">
        <f t="shared" si="5"/>
        <v>620475</v>
      </c>
    </row>
    <row r="14" spans="2:19">
      <c r="C14" s="12" t="s">
        <v>7</v>
      </c>
      <c r="D14" s="17">
        <v>0.08</v>
      </c>
      <c r="E14" s="85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7"/>
    </row>
    <row r="15" spans="2:19">
      <c r="C15" s="11" t="s">
        <v>8</v>
      </c>
      <c r="D15" s="80"/>
      <c r="E15" s="9">
        <v>0</v>
      </c>
      <c r="F15" s="18">
        <f>(F13*$D$14)/12</f>
        <v>-159.20833333333334</v>
      </c>
      <c r="G15" s="18">
        <f t="shared" ref="G15:Q15" si="6">(G13*$D$14)/12</f>
        <v>-1070.1416666666667</v>
      </c>
      <c r="H15" s="18">
        <f t="shared" si="6"/>
        <v>-1877.2083333333333</v>
      </c>
      <c r="I15" s="18">
        <f t="shared" si="6"/>
        <v>-2399.0750000000003</v>
      </c>
      <c r="J15" s="18">
        <f t="shared" si="6"/>
        <v>-2703.2083333333335</v>
      </c>
      <c r="K15" s="18">
        <f t="shared" si="6"/>
        <v>-2809.875</v>
      </c>
      <c r="L15" s="18">
        <f t="shared" si="6"/>
        <v>-2809.875</v>
      </c>
      <c r="M15" s="18">
        <f t="shared" si="6"/>
        <v>-281.125</v>
      </c>
      <c r="N15" s="18">
        <f t="shared" si="6"/>
        <v>-363.79166666666669</v>
      </c>
      <c r="O15" s="18">
        <f t="shared" si="6"/>
        <v>-1342.4583333333333</v>
      </c>
      <c r="P15" s="18">
        <f t="shared" si="6"/>
        <v>-1342.4583333333333</v>
      </c>
      <c r="Q15" s="18">
        <f t="shared" si="6"/>
        <v>-1342.4583333333333</v>
      </c>
      <c r="R15" s="18">
        <v>0</v>
      </c>
    </row>
    <row r="16" spans="2:19">
      <c r="C16" s="11" t="s">
        <v>9</v>
      </c>
      <c r="D16" s="81"/>
      <c r="E16" s="9">
        <v>0</v>
      </c>
      <c r="F16" s="18">
        <f>F15</f>
        <v>-159.20833333333334</v>
      </c>
      <c r="G16" s="18">
        <f t="shared" ref="G16:R16" si="7">F16+G15</f>
        <v>-1229.3499999999999</v>
      </c>
      <c r="H16" s="18">
        <f t="shared" si="7"/>
        <v>-3106.5583333333334</v>
      </c>
      <c r="I16" s="18">
        <f t="shared" si="7"/>
        <v>-5505.6333333333332</v>
      </c>
      <c r="J16" s="18">
        <f t="shared" si="7"/>
        <v>-8208.8416666666672</v>
      </c>
      <c r="K16" s="18">
        <f t="shared" si="7"/>
        <v>-11018.716666666667</v>
      </c>
      <c r="L16" s="18">
        <f t="shared" si="7"/>
        <v>-13828.591666666667</v>
      </c>
      <c r="M16" s="18">
        <f t="shared" si="7"/>
        <v>-14109.716666666667</v>
      </c>
      <c r="N16" s="18">
        <f t="shared" si="7"/>
        <v>-14473.508333333333</v>
      </c>
      <c r="O16" s="21">
        <f t="shared" si="7"/>
        <v>-15815.966666666667</v>
      </c>
      <c r="P16" s="18">
        <f t="shared" si="7"/>
        <v>-17158.424999999999</v>
      </c>
      <c r="Q16" s="18">
        <f t="shared" si="7"/>
        <v>-18500.883333333331</v>
      </c>
      <c r="R16" s="18">
        <f t="shared" si="7"/>
        <v>-18500.883333333331</v>
      </c>
      <c r="S16" s="34"/>
    </row>
    <row r="18" spans="2:18" ht="15" thickBot="1"/>
    <row r="19" spans="2:18" ht="15" thickBot="1">
      <c r="B19" s="1"/>
      <c r="C19" s="1" t="s">
        <v>25</v>
      </c>
      <c r="D19" s="4" t="s">
        <v>10</v>
      </c>
      <c r="E19" s="2" t="s">
        <v>11</v>
      </c>
      <c r="F19" s="3" t="s">
        <v>12</v>
      </c>
      <c r="G19" s="3" t="s">
        <v>13</v>
      </c>
      <c r="H19" s="3" t="s">
        <v>21</v>
      </c>
      <c r="I19" s="3" t="s">
        <v>14</v>
      </c>
      <c r="J19" s="3" t="s">
        <v>15</v>
      </c>
      <c r="K19" s="3" t="s">
        <v>16</v>
      </c>
      <c r="L19" s="3" t="s">
        <v>17</v>
      </c>
      <c r="M19" s="3" t="s">
        <v>18</v>
      </c>
      <c r="N19" s="3" t="s">
        <v>19</v>
      </c>
      <c r="O19" s="13" t="s">
        <v>20</v>
      </c>
      <c r="P19" s="14" t="s">
        <v>22</v>
      </c>
      <c r="Q19" s="15" t="s">
        <v>11</v>
      </c>
      <c r="R19" s="16" t="s">
        <v>12</v>
      </c>
    </row>
    <row r="20" spans="2:18">
      <c r="C20" s="10" t="s">
        <v>0</v>
      </c>
      <c r="D20" s="80"/>
      <c r="E20" s="25">
        <v>0</v>
      </c>
      <c r="F20" s="25">
        <v>0</v>
      </c>
      <c r="G20" s="25">
        <f>E23*D22</f>
        <v>24300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6">
        <f>M23*D22</f>
        <v>97200</v>
      </c>
      <c r="P20" s="27">
        <v>0</v>
      </c>
      <c r="Q20" s="27">
        <v>0</v>
      </c>
      <c r="R20" s="27">
        <v>0</v>
      </c>
    </row>
    <row r="21" spans="2:18">
      <c r="C21" s="11" t="s">
        <v>1</v>
      </c>
      <c r="D21" s="81"/>
      <c r="E21" s="25">
        <v>0</v>
      </c>
      <c r="F21" s="25">
        <v>0</v>
      </c>
      <c r="G21" s="25">
        <f t="shared" ref="G21:R21" si="8">F21+G20</f>
        <v>24300</v>
      </c>
      <c r="H21" s="25">
        <f t="shared" si="8"/>
        <v>24300</v>
      </c>
      <c r="I21" s="25">
        <f t="shared" si="8"/>
        <v>24300</v>
      </c>
      <c r="J21" s="25">
        <f t="shared" si="8"/>
        <v>24300</v>
      </c>
      <c r="K21" s="25">
        <f t="shared" si="8"/>
        <v>24300</v>
      </c>
      <c r="L21" s="25">
        <f t="shared" si="8"/>
        <v>24300</v>
      </c>
      <c r="M21" s="25">
        <f t="shared" si="8"/>
        <v>24300</v>
      </c>
      <c r="N21" s="25">
        <f t="shared" si="8"/>
        <v>24300</v>
      </c>
      <c r="O21" s="26">
        <f t="shared" si="8"/>
        <v>121500</v>
      </c>
      <c r="P21" s="25">
        <f t="shared" si="8"/>
        <v>121500</v>
      </c>
      <c r="Q21" s="25">
        <f t="shared" si="8"/>
        <v>121500</v>
      </c>
      <c r="R21" s="25">
        <f t="shared" si="8"/>
        <v>121500</v>
      </c>
    </row>
    <row r="22" spans="2:18">
      <c r="C22" s="12" t="s">
        <v>26</v>
      </c>
      <c r="D22" s="37">
        <f>121500</f>
        <v>121500</v>
      </c>
      <c r="E22" s="82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4"/>
    </row>
    <row r="23" spans="2:18">
      <c r="C23" s="12" t="s">
        <v>3</v>
      </c>
      <c r="D23" s="5"/>
      <c r="E23" s="17">
        <v>0.2</v>
      </c>
      <c r="F23" s="22"/>
      <c r="G23" s="23"/>
      <c r="H23" s="23"/>
      <c r="I23" s="23"/>
      <c r="J23" s="23"/>
      <c r="K23" s="23"/>
      <c r="L23" s="23"/>
      <c r="M23" s="30">
        <v>0.8</v>
      </c>
      <c r="N23" s="24"/>
      <c r="O23" s="19"/>
      <c r="P23" s="85"/>
      <c r="Q23" s="86"/>
      <c r="R23" s="87"/>
    </row>
    <row r="24" spans="2:18" ht="14.4" customHeight="1"/>
  </sheetData>
  <mergeCells count="10">
    <mergeCell ref="D3:D4"/>
    <mergeCell ref="D15:D16"/>
    <mergeCell ref="D20:D21"/>
    <mergeCell ref="E22:R22"/>
    <mergeCell ref="P23:R23"/>
    <mergeCell ref="E7:R8"/>
    <mergeCell ref="F9:I9"/>
    <mergeCell ref="K9:N9"/>
    <mergeCell ref="E14:R14"/>
    <mergeCell ref="P9:R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4:F26"/>
  <sheetViews>
    <sheetView workbookViewId="0">
      <selection activeCell="E14" sqref="E14:F18"/>
    </sheetView>
  </sheetViews>
  <sheetFormatPr baseColWidth="10" defaultRowHeight="14.4"/>
  <cols>
    <col min="2" max="2" width="23.6640625" customWidth="1"/>
    <col min="3" max="3" width="26.44140625" customWidth="1"/>
    <col min="4" max="4" width="21.44140625" customWidth="1"/>
    <col min="5" max="5" width="23" customWidth="1"/>
    <col min="6" max="6" width="23.33203125" customWidth="1"/>
  </cols>
  <sheetData>
    <row r="4" spans="2:6">
      <c r="B4" s="92" t="s">
        <v>62</v>
      </c>
      <c r="C4" s="92"/>
    </row>
    <row r="5" spans="2:6" ht="18">
      <c r="B5" s="91" t="s">
        <v>50</v>
      </c>
      <c r="C5" s="91"/>
    </row>
    <row r="6" spans="2:6">
      <c r="B6" s="65" t="s">
        <v>51</v>
      </c>
      <c r="C6" s="77">
        <v>121500</v>
      </c>
    </row>
    <row r="7" spans="2:6">
      <c r="B7" s="65" t="s">
        <v>53</v>
      </c>
      <c r="C7" s="77">
        <v>140000</v>
      </c>
    </row>
    <row r="8" spans="2:6">
      <c r="B8" s="66" t="s">
        <v>54</v>
      </c>
      <c r="C8" s="76">
        <f>C6+C7</f>
        <v>261500</v>
      </c>
    </row>
    <row r="9" spans="2:6">
      <c r="B9" s="66" t="s">
        <v>55</v>
      </c>
      <c r="C9" s="76">
        <v>86800</v>
      </c>
    </row>
    <row r="10" spans="2:6">
      <c r="B10" s="66" t="s">
        <v>56</v>
      </c>
      <c r="C10" s="76">
        <v>140800</v>
      </c>
    </row>
    <row r="11" spans="2:6">
      <c r="B11" s="66" t="s">
        <v>57</v>
      </c>
      <c r="C11" s="76">
        <v>18500.88</v>
      </c>
    </row>
    <row r="12" spans="2:6">
      <c r="B12" s="66" t="s">
        <v>65</v>
      </c>
      <c r="C12" s="76">
        <v>522400</v>
      </c>
    </row>
    <row r="13" spans="2:6" ht="18">
      <c r="B13" s="67" t="s">
        <v>48</v>
      </c>
      <c r="C13" s="78">
        <f>SUM(C8:C12)</f>
        <v>1030000.88</v>
      </c>
      <c r="D13" s="64"/>
    </row>
    <row r="14" spans="2:6">
      <c r="E14" s="72" t="s">
        <v>75</v>
      </c>
      <c r="F14" s="60">
        <v>0.2</v>
      </c>
    </row>
    <row r="15" spans="2:6" ht="18">
      <c r="E15" s="73" t="s">
        <v>59</v>
      </c>
      <c r="F15" s="74">
        <f>C13/(1-F14)</f>
        <v>1287501.0999999999</v>
      </c>
    </row>
    <row r="16" spans="2:6">
      <c r="E16" s="73" t="s">
        <v>31</v>
      </c>
      <c r="F16" s="75">
        <f>F15*0.2</f>
        <v>257500.21999999997</v>
      </c>
    </row>
    <row r="17" spans="5:6">
      <c r="E17" s="73" t="s">
        <v>57</v>
      </c>
      <c r="F17" s="75">
        <f>C11</f>
        <v>18500.88</v>
      </c>
    </row>
    <row r="18" spans="5:6" ht="15.6">
      <c r="E18" s="70" t="s">
        <v>76</v>
      </c>
      <c r="F18" s="71">
        <f>F16/F17</f>
        <v>13.918268752621495</v>
      </c>
    </row>
    <row r="26" spans="5:6">
      <c r="E26" t="s">
        <v>60</v>
      </c>
    </row>
  </sheetData>
  <mergeCells count="2">
    <mergeCell ref="B5:C5"/>
    <mergeCell ref="B4:C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3:J24"/>
  <sheetViews>
    <sheetView workbookViewId="0">
      <selection activeCell="J9" sqref="J9"/>
    </sheetView>
  </sheetViews>
  <sheetFormatPr baseColWidth="10" defaultRowHeight="14.4"/>
  <cols>
    <col min="1" max="1" width="23.6640625" customWidth="1"/>
    <col min="2" max="2" width="24" customWidth="1"/>
    <col min="3" max="3" width="20.33203125" customWidth="1"/>
    <col min="4" max="4" width="16.44140625" customWidth="1"/>
    <col min="5" max="5" width="12.21875" customWidth="1"/>
    <col min="6" max="6" width="11.33203125" customWidth="1"/>
    <col min="7" max="7" width="11.5546875" customWidth="1"/>
    <col min="8" max="8" width="12.88671875" customWidth="1"/>
    <col min="9" max="9" width="22.5546875" customWidth="1"/>
    <col min="10" max="10" width="14.44140625" bestFit="1" customWidth="1"/>
  </cols>
  <sheetData>
    <row r="3" spans="2:10" ht="18">
      <c r="B3" s="93" t="s">
        <v>32</v>
      </c>
      <c r="C3" s="93"/>
      <c r="E3" s="91" t="s">
        <v>63</v>
      </c>
      <c r="F3" s="91"/>
      <c r="G3" s="91"/>
      <c r="H3" s="91"/>
      <c r="I3" s="91"/>
      <c r="J3" s="91"/>
    </row>
    <row r="4" spans="2:10">
      <c r="B4" s="9" t="s">
        <v>33</v>
      </c>
      <c r="C4" s="53">
        <v>225</v>
      </c>
      <c r="E4" s="61" t="s">
        <v>34</v>
      </c>
      <c r="F4" s="61" t="s">
        <v>35</v>
      </c>
      <c r="G4" s="61" t="s">
        <v>36</v>
      </c>
      <c r="H4" s="62" t="s">
        <v>64</v>
      </c>
      <c r="I4" s="61" t="s">
        <v>37</v>
      </c>
      <c r="J4" s="61" t="s">
        <v>38</v>
      </c>
    </row>
    <row r="5" spans="2:10">
      <c r="B5" s="9" t="s">
        <v>39</v>
      </c>
      <c r="C5" s="53">
        <v>0.9</v>
      </c>
      <c r="E5" s="49" t="s">
        <v>40</v>
      </c>
      <c r="F5" s="50">
        <v>5250</v>
      </c>
      <c r="G5" s="51">
        <f>F5*12</f>
        <v>63000</v>
      </c>
      <c r="H5" s="63">
        <f>(G5)/$C$10</f>
        <v>55.555555555555557</v>
      </c>
      <c r="I5" s="49">
        <v>1500</v>
      </c>
      <c r="J5" s="47">
        <f>I5*H5</f>
        <v>83333.333333333328</v>
      </c>
    </row>
    <row r="6" spans="2:10">
      <c r="B6" s="9" t="s">
        <v>41</v>
      </c>
      <c r="C6" s="53">
        <v>0.7</v>
      </c>
      <c r="E6" s="49" t="s">
        <v>42</v>
      </c>
      <c r="F6" s="50">
        <v>2800</v>
      </c>
      <c r="G6" s="51">
        <f t="shared" ref="G6:G8" si="0">F6*12</f>
        <v>33600</v>
      </c>
      <c r="H6" s="63">
        <f t="shared" ref="H6:H8" si="1">(G6)/$C$10</f>
        <v>29.62962962962963</v>
      </c>
      <c r="I6" s="49">
        <v>1130</v>
      </c>
      <c r="J6" s="47">
        <f t="shared" ref="J6:J8" si="2">I6*H6</f>
        <v>33481.481481481482</v>
      </c>
    </row>
    <row r="7" spans="2:10">
      <c r="B7" s="9" t="s">
        <v>43</v>
      </c>
      <c r="C7" s="53">
        <v>0.5</v>
      </c>
      <c r="E7" s="49" t="s">
        <v>44</v>
      </c>
      <c r="F7" s="50">
        <v>3150</v>
      </c>
      <c r="G7" s="51">
        <f t="shared" si="0"/>
        <v>37800</v>
      </c>
      <c r="H7" s="63">
        <f t="shared" si="1"/>
        <v>33.333333333333336</v>
      </c>
      <c r="I7" s="49">
        <v>1700</v>
      </c>
      <c r="J7" s="47">
        <f t="shared" si="2"/>
        <v>56666.666666666672</v>
      </c>
    </row>
    <row r="8" spans="2:10">
      <c r="B8" s="9" t="s">
        <v>45</v>
      </c>
      <c r="C8" s="53">
        <v>0.6</v>
      </c>
      <c r="E8" s="49" t="s">
        <v>46</v>
      </c>
      <c r="F8" s="50">
        <v>2100</v>
      </c>
      <c r="G8" s="51">
        <f t="shared" si="0"/>
        <v>25200</v>
      </c>
      <c r="H8" s="63">
        <f t="shared" si="1"/>
        <v>22.222222222222221</v>
      </c>
      <c r="I8" s="49">
        <v>900</v>
      </c>
      <c r="J8" s="47">
        <f t="shared" si="2"/>
        <v>20000</v>
      </c>
    </row>
    <row r="9" spans="2:10" ht="15.6">
      <c r="B9" s="55" t="s">
        <v>47</v>
      </c>
      <c r="C9" s="54">
        <f>1+C8+C8+C7</f>
        <v>2.7</v>
      </c>
      <c r="E9" s="102" t="s">
        <v>73</v>
      </c>
      <c r="F9" s="103"/>
      <c r="G9" s="103"/>
      <c r="H9" s="103"/>
      <c r="I9" s="104"/>
      <c r="J9" s="38">
        <f>SUM(J5:J8)</f>
        <v>193481.48148148146</v>
      </c>
    </row>
    <row r="10" spans="2:10" ht="15.6">
      <c r="B10" s="9" t="s">
        <v>49</v>
      </c>
      <c r="C10" s="53">
        <v>1134</v>
      </c>
      <c r="E10" s="102" t="s">
        <v>63</v>
      </c>
      <c r="F10" s="103"/>
      <c r="G10" s="103"/>
      <c r="H10" s="103"/>
      <c r="I10" s="104"/>
      <c r="J10" s="38">
        <v>540900.88</v>
      </c>
    </row>
    <row r="11" spans="2:10" ht="18">
      <c r="B11" s="56" t="s">
        <v>61</v>
      </c>
      <c r="C11" s="57">
        <f>J10/J9</f>
        <v>2.7956209341500768</v>
      </c>
    </row>
    <row r="14" spans="2:10" ht="18.75" customHeight="1">
      <c r="B14" s="91" t="s">
        <v>50</v>
      </c>
      <c r="C14" s="91"/>
      <c r="E14" s="94" t="s">
        <v>74</v>
      </c>
      <c r="F14" s="94"/>
      <c r="G14" s="94"/>
      <c r="H14" s="94"/>
      <c r="I14" s="94"/>
      <c r="J14" s="94"/>
    </row>
    <row r="15" spans="2:10">
      <c r="B15" s="98" t="s">
        <v>51</v>
      </c>
      <c r="C15" s="99">
        <v>121500</v>
      </c>
      <c r="D15" t="s">
        <v>52</v>
      </c>
      <c r="E15" s="94"/>
      <c r="F15" s="94"/>
      <c r="G15" s="94"/>
      <c r="H15" s="94"/>
      <c r="I15" s="94"/>
      <c r="J15" s="94"/>
    </row>
    <row r="16" spans="2:10">
      <c r="B16" s="98" t="s">
        <v>53</v>
      </c>
      <c r="C16" s="99">
        <v>140000</v>
      </c>
      <c r="E16" s="94"/>
      <c r="F16" s="94"/>
      <c r="G16" s="94"/>
      <c r="H16" s="94"/>
      <c r="I16" s="94"/>
      <c r="J16" s="94"/>
    </row>
    <row r="17" spans="2:10">
      <c r="B17" s="9" t="s">
        <v>54</v>
      </c>
      <c r="C17" s="100">
        <f>C15+C16</f>
        <v>261500</v>
      </c>
      <c r="E17" s="94"/>
      <c r="F17" s="94"/>
      <c r="G17" s="94"/>
      <c r="H17" s="94"/>
      <c r="I17" s="94"/>
      <c r="J17" s="94"/>
    </row>
    <row r="18" spans="2:10">
      <c r="B18" s="9" t="s">
        <v>55</v>
      </c>
      <c r="C18" s="100">
        <v>86800</v>
      </c>
      <c r="E18" s="94"/>
      <c r="F18" s="94"/>
      <c r="G18" s="94"/>
      <c r="H18" s="94"/>
      <c r="I18" s="94"/>
      <c r="J18" s="94"/>
    </row>
    <row r="19" spans="2:10">
      <c r="B19" s="9" t="s">
        <v>56</v>
      </c>
      <c r="C19" s="100">
        <v>140800</v>
      </c>
      <c r="E19" s="94"/>
      <c r="F19" s="94"/>
      <c r="G19" s="94"/>
      <c r="H19" s="94"/>
      <c r="I19" s="94"/>
      <c r="J19" s="94"/>
    </row>
    <row r="20" spans="2:10">
      <c r="B20" s="9" t="s">
        <v>57</v>
      </c>
      <c r="C20" s="101"/>
      <c r="E20" s="94"/>
      <c r="F20" s="94"/>
      <c r="G20" s="94"/>
      <c r="H20" s="94"/>
      <c r="I20" s="94"/>
      <c r="J20" s="94"/>
    </row>
    <row r="21" spans="2:10" ht="18">
      <c r="B21" s="58" t="s">
        <v>48</v>
      </c>
      <c r="C21" s="39">
        <f>SUM(C17:C20)+J10</f>
        <v>1030000.88</v>
      </c>
      <c r="E21" s="94"/>
      <c r="F21" s="94"/>
      <c r="G21" s="94"/>
      <c r="H21" s="94"/>
      <c r="I21" s="94"/>
      <c r="J21" s="94"/>
    </row>
    <row r="23" spans="2:10">
      <c r="B23" s="42" t="s">
        <v>58</v>
      </c>
      <c r="C23" s="59">
        <v>0.2</v>
      </c>
      <c r="E23" s="68"/>
    </row>
    <row r="24" spans="2:10" ht="18">
      <c r="B24" s="44" t="s">
        <v>59</v>
      </c>
      <c r="C24" s="40">
        <f>C21/(1-C23)</f>
        <v>1287501.0999999999</v>
      </c>
      <c r="E24" s="68"/>
    </row>
  </sheetData>
  <mergeCells count="6">
    <mergeCell ref="B3:C3"/>
    <mergeCell ref="E3:J3"/>
    <mergeCell ref="E9:I9"/>
    <mergeCell ref="B14:C14"/>
    <mergeCell ref="E14:J21"/>
    <mergeCell ref="E10:I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J22"/>
  <sheetViews>
    <sheetView tabSelected="1" workbookViewId="0">
      <selection activeCell="C4" sqref="C4"/>
    </sheetView>
  </sheetViews>
  <sheetFormatPr baseColWidth="10" defaultRowHeight="14.4"/>
  <cols>
    <col min="1" max="1" width="23.6640625" customWidth="1"/>
    <col min="2" max="2" width="24.44140625" customWidth="1"/>
    <col min="3" max="3" width="18.5546875" customWidth="1"/>
    <col min="4" max="4" width="25.33203125" customWidth="1"/>
    <col min="5" max="5" width="11.88671875" customWidth="1"/>
    <col min="6" max="6" width="10.77734375" customWidth="1"/>
    <col min="7" max="7" width="11.5546875" customWidth="1"/>
    <col min="8" max="8" width="13.88671875" customWidth="1"/>
    <col min="9" max="9" width="21.33203125" customWidth="1"/>
    <col min="10" max="10" width="14.44140625" bestFit="1" customWidth="1"/>
  </cols>
  <sheetData>
    <row r="3" spans="1:10" ht="18">
      <c r="B3" s="93" t="s">
        <v>32</v>
      </c>
      <c r="C3" s="93"/>
      <c r="E3" s="91" t="s">
        <v>65</v>
      </c>
      <c r="F3" s="91"/>
      <c r="G3" s="91"/>
      <c r="H3" s="91"/>
      <c r="I3" s="91"/>
      <c r="J3" s="91"/>
    </row>
    <row r="4" spans="1:10">
      <c r="B4" s="41" t="s">
        <v>33</v>
      </c>
      <c r="C4" s="42" t="s">
        <v>77</v>
      </c>
      <c r="E4" s="52" t="s">
        <v>34</v>
      </c>
      <c r="F4" s="52" t="s">
        <v>35</v>
      </c>
      <c r="G4" s="52" t="s">
        <v>36</v>
      </c>
      <c r="H4" s="52" t="s">
        <v>66</v>
      </c>
      <c r="I4" s="52" t="s">
        <v>37</v>
      </c>
      <c r="J4" s="52" t="s">
        <v>38</v>
      </c>
    </row>
    <row r="5" spans="1:10">
      <c r="B5" s="41" t="s">
        <v>39</v>
      </c>
      <c r="C5" s="42">
        <v>0.9</v>
      </c>
      <c r="E5" s="49" t="s">
        <v>40</v>
      </c>
      <c r="F5" s="50">
        <v>5250</v>
      </c>
      <c r="G5" s="51">
        <f>F5*12</f>
        <v>63000</v>
      </c>
      <c r="H5" s="69">
        <f>(G5*$C$9)/$C$10</f>
        <v>155.31227411944872</v>
      </c>
      <c r="I5" s="49">
        <v>1500</v>
      </c>
      <c r="J5" s="47">
        <f>I5*H5</f>
        <v>232968.41117917307</v>
      </c>
    </row>
    <row r="6" spans="1:10">
      <c r="B6" s="41" t="s">
        <v>41</v>
      </c>
      <c r="C6" s="42">
        <v>0.7</v>
      </c>
      <c r="E6" s="49" t="s">
        <v>42</v>
      </c>
      <c r="F6" s="50">
        <v>2800</v>
      </c>
      <c r="G6" s="51">
        <f t="shared" ref="G6:G8" si="0">F6*12</f>
        <v>33600</v>
      </c>
      <c r="H6" s="69">
        <f>(G6*$C$9)/$C$10</f>
        <v>82.833212863705981</v>
      </c>
      <c r="I6" s="49">
        <v>1130</v>
      </c>
      <c r="J6" s="47">
        <f t="shared" ref="J6:J8" si="1">I6*H6</f>
        <v>93601.530535987753</v>
      </c>
    </row>
    <row r="7" spans="1:10">
      <c r="B7" s="41" t="s">
        <v>43</v>
      </c>
      <c r="C7" s="42">
        <v>0.5</v>
      </c>
      <c r="E7" s="49" t="s">
        <v>44</v>
      </c>
      <c r="F7" s="50">
        <v>3150</v>
      </c>
      <c r="G7" s="51">
        <f t="shared" si="0"/>
        <v>37800</v>
      </c>
      <c r="H7" s="69">
        <f>(G7*$C$9)/$C$10</f>
        <v>93.187364471669227</v>
      </c>
      <c r="I7" s="49">
        <v>1700</v>
      </c>
      <c r="J7" s="47">
        <f t="shared" si="1"/>
        <v>158418.51960183767</v>
      </c>
    </row>
    <row r="8" spans="1:10">
      <c r="B8" s="41" t="s">
        <v>45</v>
      </c>
      <c r="C8" s="42">
        <v>0.6</v>
      </c>
      <c r="E8" s="49" t="s">
        <v>46</v>
      </c>
      <c r="F8" s="50">
        <v>2100</v>
      </c>
      <c r="G8" s="51">
        <f t="shared" si="0"/>
        <v>25200</v>
      </c>
      <c r="H8" s="69">
        <f>(G8*$C$9)/$C$10</f>
        <v>62.124909647779482</v>
      </c>
      <c r="I8" s="49">
        <v>900</v>
      </c>
      <c r="J8" s="47">
        <f t="shared" si="1"/>
        <v>55912.418683001531</v>
      </c>
    </row>
    <row r="9" spans="1:10" ht="15.6">
      <c r="B9" s="41" t="s">
        <v>47</v>
      </c>
      <c r="C9" s="43">
        <f>'Question 16'!C11</f>
        <v>2.7956209341500768</v>
      </c>
      <c r="E9" s="95" t="s">
        <v>48</v>
      </c>
      <c r="F9" s="96"/>
      <c r="G9" s="96"/>
      <c r="H9" s="96"/>
      <c r="I9" s="97"/>
      <c r="J9" s="38">
        <f>SUM(J5:J8)</f>
        <v>540900.88</v>
      </c>
    </row>
    <row r="10" spans="1:10">
      <c r="B10" s="41" t="s">
        <v>49</v>
      </c>
      <c r="C10" s="42">
        <v>1134</v>
      </c>
    </row>
    <row r="14" spans="1:10" ht="18.75" customHeight="1">
      <c r="B14" s="91" t="s">
        <v>50</v>
      </c>
      <c r="C14" s="91"/>
      <c r="E14" s="94" t="s">
        <v>68</v>
      </c>
      <c r="F14" s="94"/>
      <c r="G14" s="94"/>
      <c r="H14" s="94"/>
      <c r="I14" s="94"/>
      <c r="J14" s="94"/>
    </row>
    <row r="15" spans="1:10">
      <c r="A15" t="s">
        <v>67</v>
      </c>
      <c r="B15" s="45" t="s">
        <v>51</v>
      </c>
      <c r="C15" s="46">
        <v>121500</v>
      </c>
      <c r="D15" t="s">
        <v>52</v>
      </c>
      <c r="E15" s="94"/>
      <c r="F15" s="94"/>
      <c r="G15" s="94"/>
      <c r="H15" s="94"/>
      <c r="I15" s="94"/>
      <c r="J15" s="94"/>
    </row>
    <row r="16" spans="1:10">
      <c r="B16" s="45" t="s">
        <v>53</v>
      </c>
      <c r="C16" s="46">
        <v>140000</v>
      </c>
      <c r="E16" s="94"/>
      <c r="F16" s="94"/>
      <c r="G16" s="94"/>
      <c r="H16" s="94"/>
      <c r="I16" s="94"/>
      <c r="J16" s="94"/>
    </row>
    <row r="17" spans="2:10">
      <c r="B17" s="45" t="s">
        <v>54</v>
      </c>
      <c r="C17" s="46">
        <f>C15+C16</f>
        <v>261500</v>
      </c>
      <c r="D17" t="s">
        <v>70</v>
      </c>
      <c r="E17" s="94"/>
      <c r="F17" s="94"/>
      <c r="G17" s="94"/>
      <c r="H17" s="94"/>
      <c r="I17" s="94"/>
      <c r="J17" s="94"/>
    </row>
    <row r="18" spans="2:10">
      <c r="B18" s="41" t="s">
        <v>55</v>
      </c>
      <c r="C18" s="47">
        <v>86800</v>
      </c>
      <c r="E18" s="94"/>
      <c r="F18" s="94"/>
      <c r="G18" s="94"/>
      <c r="H18" s="94"/>
      <c r="I18" s="94"/>
      <c r="J18" s="94"/>
    </row>
    <row r="19" spans="2:10">
      <c r="B19" s="41" t="s">
        <v>56</v>
      </c>
      <c r="C19" s="47">
        <v>140800</v>
      </c>
      <c r="E19" s="94"/>
      <c r="F19" s="94"/>
      <c r="G19" s="94"/>
      <c r="H19" s="94"/>
      <c r="I19" s="94"/>
      <c r="J19" s="94"/>
    </row>
    <row r="20" spans="2:10">
      <c r="B20" s="41" t="s">
        <v>69</v>
      </c>
      <c r="C20" s="47">
        <f>C17/(1-0.05)</f>
        <v>275263.15789473685</v>
      </c>
      <c r="D20" t="s">
        <v>71</v>
      </c>
      <c r="E20" s="94"/>
      <c r="F20" s="94"/>
      <c r="G20" s="94"/>
      <c r="H20" s="94"/>
      <c r="I20" s="94"/>
      <c r="J20" s="94"/>
    </row>
    <row r="21" spans="2:10">
      <c r="B21" s="41" t="s">
        <v>65</v>
      </c>
      <c r="C21" s="47">
        <f>J9</f>
        <v>540900.88</v>
      </c>
      <c r="E21" s="94"/>
      <c r="F21" s="94"/>
      <c r="G21" s="94"/>
      <c r="H21" s="94"/>
      <c r="I21" s="94"/>
      <c r="J21" s="94"/>
    </row>
    <row r="22" spans="2:10" ht="18">
      <c r="B22" s="48" t="s">
        <v>48</v>
      </c>
      <c r="C22" s="39">
        <f>SUM(C18:C21)+J9</f>
        <v>1584664.9178947369</v>
      </c>
      <c r="E22" s="94"/>
      <c r="F22" s="94"/>
      <c r="G22" s="94"/>
      <c r="H22" s="94"/>
      <c r="I22" s="94"/>
      <c r="J22" s="94"/>
    </row>
  </sheetData>
  <mergeCells count="5">
    <mergeCell ref="B3:C3"/>
    <mergeCell ref="E3:J3"/>
    <mergeCell ref="E9:I9"/>
    <mergeCell ref="B14:C14"/>
    <mergeCell ref="E14:J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Question 14</vt:lpstr>
      <vt:lpstr>Question 15</vt:lpstr>
      <vt:lpstr>Question 16</vt:lpstr>
      <vt:lpstr>Question 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FIGUERAS QUENTIN</dc:creator>
  <cp:lastModifiedBy>FIGUERAS QUENTIN</cp:lastModifiedBy>
  <dcterms:created xsi:type="dcterms:W3CDTF">2013-09-18T12:40:33Z</dcterms:created>
  <dcterms:modified xsi:type="dcterms:W3CDTF">2013-10-02T08:12:53Z</dcterms:modified>
</cp:coreProperties>
</file>