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380" yWindow="0" windowWidth="20480" windowHeight="13580" tabRatio="943" firstSheet="9" activeTab="18"/>
  </bookViews>
  <sheets>
    <sheet name="Tableau simu" sheetId="22" r:id="rId1"/>
    <sheet name="Prod,Fact,Encaisse" sheetId="23" r:id="rId2"/>
    <sheet name="TEC" sheetId="26" r:id="rId3"/>
    <sheet name="Personnel,salaires" sheetId="18" r:id="rId4"/>
    <sheet name="Immo" sheetId="10" r:id="rId5"/>
    <sheet name="TH " sheetId="11" r:id="rId6"/>
    <sheet name="Budget, PV contrat" sheetId="19" r:id="rId7"/>
    <sheet name="TVA" sheetId="24" r:id="rId8"/>
    <sheet name="Trésorerie " sheetId="15" r:id="rId9"/>
    <sheet name="Produits " sheetId="6" r:id="rId10"/>
    <sheet name="Charges " sheetId="7" r:id="rId11"/>
    <sheet name="Passif " sheetId="9" r:id="rId12"/>
    <sheet name="Actif " sheetId="8" r:id="rId13"/>
    <sheet name="FR, BFR,CA max" sheetId="17" r:id="rId14"/>
    <sheet name="Plan financt" sheetId="21" r:id="rId15"/>
    <sheet name="Equation perf" sheetId="25" r:id="rId16"/>
    <sheet name="Impact Scénariste" sheetId="27" r:id="rId17"/>
    <sheet name="Prime DC et IRPP" sheetId="28" r:id="rId18"/>
    <sheet name="Diagnostic" sheetId="29" r:id="rId19"/>
  </sheets>
  <externalReferences>
    <externalReference r:id="rId20"/>
  </externalReferences>
  <definedNames>
    <definedName name="_xlnm.Print_Titles" localSheetId="8">'Trésorerie '!$A:$A</definedName>
    <definedName name="_xlnm.Print_Area" localSheetId="12">'Actif '!$A$1:$E$51</definedName>
    <definedName name="_xlnm.Print_Area" localSheetId="6">'Budget, PV contrat'!$A$1:$D$18</definedName>
    <definedName name="_xlnm.Print_Area" localSheetId="10">'Charges '!$B$1:$C$73</definedName>
    <definedName name="_xlnm.Print_Area" localSheetId="15">'Equation perf'!$B$2:$D$23</definedName>
    <definedName name="_xlnm.Print_Area" localSheetId="13">'FR, BFR,CA max'!$A$1:$E$19</definedName>
    <definedName name="_xlnm.Print_Area" localSheetId="4">Immo!$B$2:$L$35</definedName>
    <definedName name="_xlnm.Print_Area" localSheetId="11">'Passif '!$A$1:$D$44</definedName>
    <definedName name="_xlnm.Print_Area" localSheetId="3">'Personnel,salaires'!$A$1:$AC$16</definedName>
    <definedName name="_xlnm.Print_Area" localSheetId="9">'Produits '!$B$1:$D$36</definedName>
    <definedName name="_xlnm.Print_Area" localSheetId="0">'Tableau simu'!$E$1:$G$19</definedName>
    <definedName name="_xlnm.Print_Area" localSheetId="2">TEC!$A$1:$I$19</definedName>
    <definedName name="_xlnm.Print_Area" localSheetId="5">'TH '!$A$1:$U$24</definedName>
    <definedName name="_xlnm.Print_Area" localSheetId="8">'Trésorerie '!$A$1:$P$57</definedName>
    <definedName name="_xlnm.Print_Area" localSheetId="7">TVA!$B$2:$N$22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8" l="1"/>
  <c r="H13" i="18"/>
  <c r="I13" i="18"/>
  <c r="J13" i="18"/>
  <c r="K13" i="18"/>
  <c r="L13" i="18"/>
  <c r="M13" i="18"/>
  <c r="N13" i="18"/>
  <c r="O13" i="18"/>
  <c r="P13" i="18"/>
  <c r="J5" i="11"/>
  <c r="C12" i="18"/>
  <c r="H12" i="18"/>
  <c r="I12" i="18"/>
  <c r="J12" i="18"/>
  <c r="K12" i="18"/>
  <c r="L12" i="18"/>
  <c r="M12" i="18"/>
  <c r="N12" i="18"/>
  <c r="O12" i="18"/>
  <c r="P12" i="18"/>
  <c r="I5" i="11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C11" i="18"/>
  <c r="G11" i="18"/>
  <c r="H11" i="18"/>
  <c r="I11" i="18"/>
  <c r="J11" i="18"/>
  <c r="K11" i="18"/>
  <c r="L11" i="18"/>
  <c r="M11" i="18"/>
  <c r="N11" i="18"/>
  <c r="O11" i="18"/>
  <c r="P11" i="18"/>
  <c r="C14" i="18"/>
  <c r="H14" i="18"/>
  <c r="I14" i="18"/>
  <c r="J14" i="18"/>
  <c r="K14" i="18"/>
  <c r="L14" i="18"/>
  <c r="M14" i="18"/>
  <c r="N14" i="18"/>
  <c r="O14" i="18"/>
  <c r="P14" i="18"/>
  <c r="P15" i="18"/>
  <c r="B5" i="11"/>
  <c r="B9" i="11"/>
  <c r="B8" i="11"/>
  <c r="D5" i="11"/>
  <c r="H5" i="11"/>
  <c r="G5" i="11"/>
  <c r="F5" i="11"/>
  <c r="E5" i="11"/>
  <c r="E22" i="10"/>
  <c r="E23" i="10"/>
  <c r="E25" i="10"/>
  <c r="H6" i="10"/>
  <c r="H7" i="10"/>
  <c r="H8" i="10"/>
  <c r="H9" i="10"/>
  <c r="H11" i="10"/>
  <c r="H13" i="10"/>
  <c r="H15" i="10"/>
  <c r="H16" i="10"/>
  <c r="H18" i="10"/>
  <c r="H19" i="10"/>
  <c r="F21" i="10"/>
  <c r="H21" i="10"/>
  <c r="H22" i="10"/>
  <c r="H25" i="10"/>
  <c r="K6" i="10"/>
  <c r="K7" i="10"/>
  <c r="K8" i="10"/>
  <c r="K9" i="10"/>
  <c r="K11" i="10"/>
  <c r="K13" i="10"/>
  <c r="K15" i="10"/>
  <c r="K16" i="10"/>
  <c r="K18" i="10"/>
  <c r="K19" i="10"/>
  <c r="I21" i="10"/>
  <c r="K21" i="10"/>
  <c r="K22" i="10"/>
  <c r="K25" i="10"/>
  <c r="C28" i="10"/>
  <c r="E31" i="10"/>
  <c r="E32" i="10"/>
  <c r="C35" i="10"/>
  <c r="B10" i="11"/>
  <c r="Q14" i="18"/>
  <c r="AC14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AD13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AD12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AD11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AD10" i="18"/>
  <c r="AC9" i="18"/>
  <c r="AB9" i="18"/>
  <c r="AA9" i="18"/>
  <c r="Z9" i="18"/>
  <c r="Y9" i="18"/>
  <c r="X9" i="18"/>
  <c r="W9" i="18"/>
  <c r="V9" i="18"/>
  <c r="U9" i="18"/>
  <c r="T9" i="18"/>
  <c r="S9" i="18"/>
  <c r="R9" i="18"/>
  <c r="AD9" i="18"/>
  <c r="AC8" i="18"/>
  <c r="AB8" i="18"/>
  <c r="AA8" i="18"/>
  <c r="Z8" i="18"/>
  <c r="Y8" i="18"/>
  <c r="X8" i="18"/>
  <c r="W8" i="18"/>
  <c r="V8" i="18"/>
  <c r="U8" i="18"/>
  <c r="T8" i="18"/>
  <c r="S8" i="18"/>
  <c r="R8" i="18"/>
  <c r="AD8" i="18"/>
  <c r="AC7" i="18"/>
  <c r="AB7" i="18"/>
  <c r="AA7" i="18"/>
  <c r="Z7" i="18"/>
  <c r="Y7" i="18"/>
  <c r="X7" i="18"/>
  <c r="W7" i="18"/>
  <c r="V7" i="18"/>
  <c r="U7" i="18"/>
  <c r="T7" i="18"/>
  <c r="S7" i="18"/>
  <c r="R7" i="18"/>
  <c r="AD7" i="18"/>
  <c r="AC6" i="18"/>
  <c r="AB6" i="18"/>
  <c r="AA6" i="18"/>
  <c r="Z6" i="18"/>
  <c r="Y6" i="18"/>
  <c r="X6" i="18"/>
  <c r="W6" i="18"/>
  <c r="V6" i="18"/>
  <c r="U6" i="18"/>
  <c r="T6" i="18"/>
  <c r="S6" i="18"/>
  <c r="R6" i="18"/>
  <c r="AD6" i="18"/>
  <c r="AC5" i="18"/>
  <c r="AC15" i="18"/>
  <c r="AB5" i="18"/>
  <c r="AA5" i="18"/>
  <c r="Z5" i="18"/>
  <c r="Y5" i="18"/>
  <c r="X5" i="18"/>
  <c r="W5" i="18"/>
  <c r="V5" i="18"/>
  <c r="U5" i="18"/>
  <c r="T5" i="18"/>
  <c r="S5" i="18"/>
  <c r="R5" i="18"/>
  <c r="AD5" i="18"/>
  <c r="O15" i="18"/>
  <c r="R14" i="18"/>
  <c r="T14" i="18"/>
  <c r="T15" i="18"/>
  <c r="V14" i="18"/>
  <c r="V15" i="18"/>
  <c r="X14" i="18"/>
  <c r="X15" i="18"/>
  <c r="Z14" i="18"/>
  <c r="Z15" i="18"/>
  <c r="AB14" i="18"/>
  <c r="AB15" i="18"/>
  <c r="S14" i="18"/>
  <c r="S15" i="18"/>
  <c r="U14" i="18"/>
  <c r="U15" i="18"/>
  <c r="W14" i="18"/>
  <c r="W15" i="18"/>
  <c r="Y14" i="18"/>
  <c r="Y15" i="18"/>
  <c r="AA14" i="18"/>
  <c r="AA15" i="18"/>
  <c r="E15" i="18"/>
  <c r="M15" i="18"/>
  <c r="AD14" i="18"/>
  <c r="N15" i="18"/>
  <c r="J15" i="18"/>
  <c r="F15" i="18"/>
  <c r="AD15" i="18"/>
  <c r="G15" i="18"/>
  <c r="R15" i="18"/>
  <c r="D15" i="18"/>
  <c r="I15" i="18"/>
  <c r="L15" i="18"/>
  <c r="H15" i="18"/>
  <c r="K15" i="18"/>
  <c r="B7" i="15"/>
  <c r="F9" i="23"/>
  <c r="J21" i="23"/>
  <c r="I18" i="23"/>
  <c r="K24" i="23"/>
  <c r="M30" i="23"/>
  <c r="L27" i="23"/>
  <c r="N33" i="23"/>
  <c r="P42" i="23"/>
  <c r="O36" i="23"/>
  <c r="R48" i="23"/>
  <c r="U57" i="23"/>
  <c r="T54" i="23"/>
  <c r="W63" i="23"/>
  <c r="V60" i="23"/>
  <c r="X66" i="23"/>
  <c r="Y69" i="23"/>
  <c r="Z72" i="23"/>
  <c r="AA75" i="23"/>
  <c r="G12" i="23"/>
  <c r="H15" i="23"/>
  <c r="Q45" i="23"/>
  <c r="S51" i="23"/>
  <c r="B9" i="23"/>
  <c r="A6" i="23"/>
  <c r="P3" i="23"/>
  <c r="A4" i="23"/>
  <c r="B10" i="23"/>
  <c r="B11" i="23"/>
  <c r="D20" i="19"/>
  <c r="D21" i="19"/>
  <c r="A2" i="23"/>
  <c r="Q6" i="23"/>
  <c r="S12" i="23"/>
  <c r="U18" i="23"/>
  <c r="R9" i="23"/>
  <c r="T15" i="23"/>
  <c r="V21" i="23"/>
  <c r="X27" i="23"/>
  <c r="Z33" i="23"/>
  <c r="W24" i="23"/>
  <c r="Y30" i="23"/>
  <c r="AA36" i="23"/>
  <c r="B16" i="19"/>
  <c r="F6" i="11"/>
  <c r="F7" i="11"/>
  <c r="G6" i="11"/>
  <c r="G7" i="11"/>
  <c r="B13" i="19"/>
  <c r="D13" i="19"/>
  <c r="B14" i="19"/>
  <c r="D14" i="19"/>
  <c r="B15" i="19"/>
  <c r="D15" i="19"/>
  <c r="B26" i="15"/>
  <c r="B27" i="15"/>
  <c r="B28" i="15"/>
  <c r="F24" i="10"/>
  <c r="I24" i="10"/>
  <c r="D3" i="23"/>
  <c r="E6" i="23"/>
  <c r="F78" i="23"/>
  <c r="G78" i="23"/>
  <c r="H78" i="23"/>
  <c r="I78" i="23"/>
  <c r="J78" i="23"/>
  <c r="K78" i="23"/>
  <c r="L78" i="23"/>
  <c r="M78" i="23"/>
  <c r="N78" i="23"/>
  <c r="O78" i="23"/>
  <c r="B46" i="15"/>
  <c r="B38" i="15"/>
  <c r="B37" i="15"/>
  <c r="B55" i="15"/>
  <c r="E78" i="23"/>
  <c r="AB70" i="23"/>
  <c r="AC71" i="23"/>
  <c r="AH83" i="23"/>
  <c r="AD76" i="23"/>
  <c r="AG78" i="23"/>
  <c r="AG84" i="23"/>
  <c r="AH78" i="23"/>
  <c r="AH84" i="23"/>
  <c r="B23" i="15"/>
  <c r="B14" i="11"/>
  <c r="B16" i="11"/>
  <c r="AE77" i="23"/>
  <c r="AH77" i="23"/>
  <c r="AH79" i="23"/>
  <c r="AH40" i="23"/>
  <c r="AH81" i="23"/>
  <c r="L8" i="10"/>
  <c r="F10" i="11"/>
  <c r="L9" i="10"/>
  <c r="L11" i="10"/>
  <c r="G10" i="11"/>
  <c r="L22" i="10"/>
  <c r="L23" i="10"/>
  <c r="L13" i="10"/>
  <c r="H10" i="11"/>
  <c r="L15" i="10"/>
  <c r="L18" i="10"/>
  <c r="L7" i="10"/>
  <c r="E10" i="11"/>
  <c r="L16" i="10"/>
  <c r="L19" i="10"/>
  <c r="J10" i="11"/>
  <c r="C24" i="10"/>
  <c r="E79" i="23"/>
  <c r="F79" i="23"/>
  <c r="G79" i="23"/>
  <c r="H79" i="23"/>
  <c r="I79" i="23"/>
  <c r="J79" i="23"/>
  <c r="K79" i="23"/>
  <c r="L79" i="23"/>
  <c r="M79" i="23"/>
  <c r="N79" i="23"/>
  <c r="O79" i="23"/>
  <c r="P79" i="23"/>
  <c r="D79" i="23"/>
  <c r="D40" i="23"/>
  <c r="D81" i="23"/>
  <c r="AG40" i="23"/>
  <c r="AI40" i="23"/>
  <c r="AF39" i="23"/>
  <c r="AF83" i="23"/>
  <c r="AG39" i="23"/>
  <c r="AG83" i="23"/>
  <c r="D78" i="23"/>
  <c r="D22" i="22"/>
  <c r="C22" i="22"/>
  <c r="B22" i="22"/>
  <c r="C34" i="10"/>
  <c r="C18" i="19"/>
  <c r="AG80" i="23"/>
  <c r="H10" i="23"/>
  <c r="I11" i="23"/>
  <c r="K19" i="23"/>
  <c r="L20" i="23"/>
  <c r="M25" i="23"/>
  <c r="N26" i="23"/>
  <c r="L22" i="23"/>
  <c r="M23" i="23"/>
  <c r="N28" i="23"/>
  <c r="O29" i="23"/>
  <c r="O31" i="23"/>
  <c r="P32" i="23"/>
  <c r="P34" i="23"/>
  <c r="Q35" i="23"/>
  <c r="Q37" i="23"/>
  <c r="R38" i="23"/>
  <c r="S43" i="23"/>
  <c r="U49" i="23"/>
  <c r="V50" i="23"/>
  <c r="W55" i="23"/>
  <c r="X56" i="23"/>
  <c r="X58" i="23"/>
  <c r="Y59" i="23"/>
  <c r="Y61" i="23"/>
  <c r="Z62" i="23"/>
  <c r="Z64" i="23"/>
  <c r="AA65" i="23"/>
  <c r="AA67" i="23"/>
  <c r="AB68" i="23"/>
  <c r="I13" i="23"/>
  <c r="J14" i="23"/>
  <c r="J16" i="23"/>
  <c r="K17" i="23"/>
  <c r="F10" i="23"/>
  <c r="G11" i="23"/>
  <c r="J22" i="23"/>
  <c r="K23" i="23"/>
  <c r="I19" i="23"/>
  <c r="J20" i="23"/>
  <c r="K25" i="23"/>
  <c r="L26" i="23"/>
  <c r="M31" i="23"/>
  <c r="N32" i="23"/>
  <c r="L28" i="23"/>
  <c r="M29" i="23"/>
  <c r="P43" i="23"/>
  <c r="R49" i="23"/>
  <c r="S50" i="23"/>
  <c r="S79" i="23"/>
  <c r="U58" i="23"/>
  <c r="V59" i="23"/>
  <c r="T55" i="23"/>
  <c r="U56" i="23"/>
  <c r="W64" i="23"/>
  <c r="X65" i="23"/>
  <c r="X67" i="23"/>
  <c r="Y68" i="23"/>
  <c r="Y70" i="23"/>
  <c r="Z71" i="23"/>
  <c r="Z73" i="23"/>
  <c r="AA74" i="23"/>
  <c r="V61" i="23"/>
  <c r="W62" i="23"/>
  <c r="AA76" i="23"/>
  <c r="AB77" i="23"/>
  <c r="G13" i="23"/>
  <c r="H14" i="23"/>
  <c r="H16" i="23"/>
  <c r="I17" i="23"/>
  <c r="V52" i="23"/>
  <c r="W53" i="23"/>
  <c r="AC73" i="23"/>
  <c r="AD74" i="23"/>
  <c r="O37" i="23"/>
  <c r="P38" i="23"/>
  <c r="N34" i="23"/>
  <c r="O35" i="23"/>
  <c r="R78" i="23"/>
  <c r="R84" i="23"/>
  <c r="P78" i="23"/>
  <c r="P84" i="23"/>
  <c r="Q44" i="23"/>
  <c r="Q79" i="23"/>
  <c r="T44" i="23"/>
  <c r="C27" i="10"/>
  <c r="AC37" i="23"/>
  <c r="AD38" i="23"/>
  <c r="AB34" i="23"/>
  <c r="H6" i="11"/>
  <c r="H7" i="11"/>
  <c r="Y31" i="23"/>
  <c r="Z32" i="23"/>
  <c r="V22" i="23"/>
  <c r="W23" i="23"/>
  <c r="AB64" i="23"/>
  <c r="AB28" i="23"/>
  <c r="AC29" i="23"/>
  <c r="AC31" i="23"/>
  <c r="AE37" i="23"/>
  <c r="AD70" i="23"/>
  <c r="AF76" i="23"/>
  <c r="M19" i="23"/>
  <c r="N20" i="23"/>
  <c r="O25" i="23"/>
  <c r="Q31" i="23"/>
  <c r="R32" i="23"/>
  <c r="S37" i="23"/>
  <c r="T38" i="23"/>
  <c r="W49" i="23"/>
  <c r="X50" i="23"/>
  <c r="Z58" i="23"/>
  <c r="AA59" i="23"/>
  <c r="AA79" i="23"/>
  <c r="AE73" i="23"/>
  <c r="K13" i="23"/>
  <c r="L14" i="23"/>
  <c r="AD34" i="23"/>
  <c r="J10" i="23"/>
  <c r="K11" i="23"/>
  <c r="N22" i="23"/>
  <c r="P28" i="23"/>
  <c r="Q29" i="23"/>
  <c r="R34" i="23"/>
  <c r="S35" i="23"/>
  <c r="U43" i="23"/>
  <c r="V44" i="23"/>
  <c r="Y55" i="23"/>
  <c r="Z56" i="23"/>
  <c r="AA61" i="23"/>
  <c r="AB62" i="23"/>
  <c r="V46" i="23"/>
  <c r="AC67" i="23"/>
  <c r="L16" i="23"/>
  <c r="L39" i="23"/>
  <c r="L80" i="23"/>
  <c r="AB39" i="23"/>
  <c r="AB83" i="23"/>
  <c r="Z78" i="23"/>
  <c r="AA78" i="23"/>
  <c r="AA84" i="23"/>
  <c r="Y78" i="23"/>
  <c r="Y84" i="23"/>
  <c r="U78" i="23"/>
  <c r="U84" i="23"/>
  <c r="M17" i="23"/>
  <c r="J39" i="23"/>
  <c r="J80" i="23"/>
  <c r="O39" i="23"/>
  <c r="O80" i="23"/>
  <c r="M39" i="23"/>
  <c r="M80" i="23"/>
  <c r="G16" i="11"/>
  <c r="F16" i="11"/>
  <c r="J16" i="11"/>
  <c r="H16" i="11"/>
  <c r="I16" i="11"/>
  <c r="E16" i="11"/>
  <c r="D16" i="11"/>
  <c r="L16" i="11"/>
  <c r="I10" i="11"/>
  <c r="L40" i="23"/>
  <c r="L81" i="23"/>
  <c r="V79" i="23"/>
  <c r="X79" i="23"/>
  <c r="Z79" i="23"/>
  <c r="P26" i="23"/>
  <c r="W78" i="23"/>
  <c r="W84" i="23"/>
  <c r="Z84" i="23"/>
  <c r="K39" i="23"/>
  <c r="K80" i="23"/>
  <c r="K40" i="23"/>
  <c r="K81" i="23"/>
  <c r="L24" i="10"/>
  <c r="L6" i="10"/>
  <c r="D10" i="11"/>
  <c r="L10" i="11"/>
  <c r="AH80" i="23"/>
  <c r="AC35" i="23"/>
  <c r="AC40" i="23"/>
  <c r="X28" i="23"/>
  <c r="Y29" i="23"/>
  <c r="P40" i="23"/>
  <c r="P81" i="23"/>
  <c r="M40" i="23"/>
  <c r="M81" i="23"/>
  <c r="AB79" i="23"/>
  <c r="N40" i="23"/>
  <c r="N81" i="23"/>
  <c r="D6" i="11"/>
  <c r="D7" i="11"/>
  <c r="D4" i="23"/>
  <c r="E7" i="23"/>
  <c r="E39" i="23"/>
  <c r="H4" i="23"/>
  <c r="H8" i="23"/>
  <c r="H40" i="23"/>
  <c r="H81" i="23"/>
  <c r="J8" i="23"/>
  <c r="J40" i="23"/>
  <c r="J81" i="23"/>
  <c r="F4" i="23"/>
  <c r="G7" i="23"/>
  <c r="G39" i="23"/>
  <c r="G80" i="23"/>
  <c r="I7" i="23"/>
  <c r="I39" i="23"/>
  <c r="I80" i="23"/>
  <c r="F8" i="23"/>
  <c r="F40" i="23"/>
  <c r="U7" i="23"/>
  <c r="V16" i="23"/>
  <c r="W17" i="23"/>
  <c r="R4" i="23"/>
  <c r="X22" i="23"/>
  <c r="Y23" i="23"/>
  <c r="Z22" i="23"/>
  <c r="W19" i="23"/>
  <c r="X20" i="23"/>
  <c r="W25" i="23"/>
  <c r="X26" i="23"/>
  <c r="Y19" i="23"/>
  <c r="AA31" i="23"/>
  <c r="AB32" i="23"/>
  <c r="AA37" i="23"/>
  <c r="AB38" i="23"/>
  <c r="P4" i="23"/>
  <c r="S7" i="23"/>
  <c r="S13" i="23"/>
  <c r="T14" i="23"/>
  <c r="U13" i="23"/>
  <c r="V14" i="23"/>
  <c r="U19" i="23"/>
  <c r="V20" i="23"/>
  <c r="Q7" i="23"/>
  <c r="T4" i="23"/>
  <c r="T10" i="23"/>
  <c r="U11" i="23"/>
  <c r="T16" i="23"/>
  <c r="U17" i="23"/>
  <c r="V10" i="23"/>
  <c r="R10" i="23"/>
  <c r="S11" i="23"/>
  <c r="X16" i="23"/>
  <c r="Z28" i="23"/>
  <c r="AA29" i="23"/>
  <c r="Z34" i="23"/>
  <c r="AA35" i="23"/>
  <c r="W13" i="23"/>
  <c r="Y25" i="23"/>
  <c r="Z26" i="23"/>
  <c r="AA25" i="23"/>
  <c r="D17" i="19"/>
  <c r="T46" i="23"/>
  <c r="T78" i="23"/>
  <c r="X52" i="23"/>
  <c r="S52" i="23"/>
  <c r="Q46" i="23"/>
  <c r="J6" i="11"/>
  <c r="J7" i="11"/>
  <c r="V78" i="23"/>
  <c r="V84" i="23"/>
  <c r="W47" i="23"/>
  <c r="W79" i="23"/>
  <c r="O23" i="23"/>
  <c r="O40" i="23"/>
  <c r="O81" i="23"/>
  <c r="N39" i="23"/>
  <c r="N80" i="23"/>
  <c r="AD39" i="23"/>
  <c r="AD83" i="23"/>
  <c r="AE35" i="23"/>
  <c r="AE40" i="23"/>
  <c r="AF74" i="23"/>
  <c r="AF79" i="23"/>
  <c r="AE78" i="23"/>
  <c r="AD78" i="23"/>
  <c r="AE71" i="23"/>
  <c r="AE79" i="23"/>
  <c r="AE81" i="23"/>
  <c r="AC39" i="23"/>
  <c r="AC83" i="23"/>
  <c r="AD32" i="23"/>
  <c r="AD40" i="23"/>
  <c r="AB78" i="23"/>
  <c r="AC65" i="23"/>
  <c r="AC79" i="23"/>
  <c r="AD68" i="23"/>
  <c r="AD79" i="23"/>
  <c r="AC78" i="23"/>
  <c r="AF78" i="23"/>
  <c r="AG77" i="23"/>
  <c r="AG79" i="23"/>
  <c r="AG81" i="23"/>
  <c r="AE39" i="23"/>
  <c r="AE83" i="23"/>
  <c r="AF38" i="23"/>
  <c r="AF40" i="23"/>
  <c r="AC81" i="23"/>
  <c r="I6" i="11"/>
  <c r="I7" i="11"/>
  <c r="AB80" i="23"/>
  <c r="AB84" i="23"/>
  <c r="L25" i="10"/>
  <c r="B10" i="15"/>
  <c r="T53" i="23"/>
  <c r="T79" i="23"/>
  <c r="S78" i="23"/>
  <c r="U47" i="23"/>
  <c r="U79" i="23"/>
  <c r="B12" i="11"/>
  <c r="B9" i="15"/>
  <c r="AA39" i="23"/>
  <c r="AB26" i="23"/>
  <c r="AB40" i="23"/>
  <c r="W39" i="23"/>
  <c r="X14" i="23"/>
  <c r="X40" i="23"/>
  <c r="X81" i="23"/>
  <c r="T39" i="23"/>
  <c r="T83" i="23"/>
  <c r="U5" i="23"/>
  <c r="U40" i="23"/>
  <c r="Q5" i="23"/>
  <c r="Q40" i="23"/>
  <c r="Q81" i="23"/>
  <c r="P39" i="23"/>
  <c r="Z39" i="23"/>
  <c r="AA23" i="23"/>
  <c r="AA40" i="23"/>
  <c r="AA81" i="23"/>
  <c r="S5" i="23"/>
  <c r="S40" i="23"/>
  <c r="S81" i="23"/>
  <c r="R39" i="23"/>
  <c r="U39" i="23"/>
  <c r="V8" i="23"/>
  <c r="V40" i="23"/>
  <c r="V81" i="23"/>
  <c r="G5" i="23"/>
  <c r="G40" i="23"/>
  <c r="G81" i="23"/>
  <c r="F39" i="23"/>
  <c r="F80" i="23"/>
  <c r="E80" i="23"/>
  <c r="AB81" i="23"/>
  <c r="Q78" i="23"/>
  <c r="R47" i="23"/>
  <c r="R79" i="23"/>
  <c r="Y53" i="23"/>
  <c r="Y79" i="23"/>
  <c r="X78" i="23"/>
  <c r="X39" i="23"/>
  <c r="X83" i="23"/>
  <c r="Y17" i="23"/>
  <c r="Y40" i="23"/>
  <c r="W11" i="23"/>
  <c r="W40" i="23"/>
  <c r="W81" i="23"/>
  <c r="V39" i="23"/>
  <c r="R8" i="23"/>
  <c r="R40" i="23"/>
  <c r="Q39" i="23"/>
  <c r="Q83" i="23"/>
  <c r="T8" i="23"/>
  <c r="T40" i="23"/>
  <c r="S39" i="23"/>
  <c r="S83" i="23"/>
  <c r="Y39" i="23"/>
  <c r="Z20" i="23"/>
  <c r="Z40" i="23"/>
  <c r="Z81" i="23"/>
  <c r="F81" i="23"/>
  <c r="I5" i="23"/>
  <c r="I40" i="23"/>
  <c r="I81" i="23"/>
  <c r="H39" i="23"/>
  <c r="H80" i="23"/>
  <c r="D39" i="23"/>
  <c r="E5" i="23"/>
  <c r="E40" i="23"/>
  <c r="AD81" i="23"/>
  <c r="AF84" i="23"/>
  <c r="AF80" i="23"/>
  <c r="AD84" i="23"/>
  <c r="AD80" i="23"/>
  <c r="AF81" i="23"/>
  <c r="AC80" i="23"/>
  <c r="AC84" i="23"/>
  <c r="AE84" i="23"/>
  <c r="AE80" i="23"/>
  <c r="D80" i="23"/>
  <c r="Y83" i="23"/>
  <c r="Y80" i="23"/>
  <c r="X80" i="23"/>
  <c r="X84" i="23"/>
  <c r="U83" i="23"/>
  <c r="U80" i="23"/>
  <c r="Z80" i="23"/>
  <c r="Z83" i="23"/>
  <c r="W83" i="23"/>
  <c r="W80" i="23"/>
  <c r="AA83" i="23"/>
  <c r="AA80" i="23"/>
  <c r="E6" i="11"/>
  <c r="L6" i="11"/>
  <c r="L5" i="11"/>
  <c r="T80" i="23"/>
  <c r="T84" i="23"/>
  <c r="S80" i="23"/>
  <c r="S84" i="23"/>
  <c r="R81" i="23"/>
  <c r="E81" i="23"/>
  <c r="V83" i="23"/>
  <c r="V80" i="23"/>
  <c r="Q84" i="23"/>
  <c r="Q80" i="23"/>
  <c r="R80" i="23"/>
  <c r="R83" i="23"/>
  <c r="P80" i="23"/>
  <c r="P83" i="23"/>
  <c r="L13" i="11"/>
  <c r="Y81" i="23"/>
  <c r="U81" i="23"/>
  <c r="T81" i="23"/>
  <c r="L7" i="11"/>
  <c r="B6" i="11"/>
  <c r="B7" i="11"/>
  <c r="E7" i="11"/>
  <c r="E8" i="11"/>
  <c r="B11" i="11"/>
  <c r="G9" i="11"/>
  <c r="I9" i="11"/>
  <c r="H9" i="11"/>
  <c r="J9" i="11"/>
  <c r="F9" i="11"/>
  <c r="D9" i="11"/>
  <c r="E9" i="11"/>
  <c r="E11" i="11"/>
  <c r="H8" i="11"/>
  <c r="J8" i="11"/>
  <c r="F8" i="11"/>
  <c r="G8" i="11"/>
  <c r="G11" i="11"/>
  <c r="I8" i="11"/>
  <c r="I11" i="11"/>
  <c r="D8" i="11"/>
  <c r="D11" i="11"/>
  <c r="J11" i="11"/>
  <c r="F11" i="11"/>
  <c r="H11" i="11"/>
  <c r="L8" i="11"/>
  <c r="L9" i="11"/>
  <c r="D18" i="11"/>
  <c r="L11" i="11"/>
  <c r="J18" i="11"/>
  <c r="F18" i="11"/>
  <c r="H18" i="11"/>
  <c r="E18" i="11"/>
  <c r="I18" i="11"/>
  <c r="G18" i="11"/>
  <c r="L18" i="11"/>
  <c r="E19" i="11"/>
  <c r="J19" i="11"/>
  <c r="F19" i="11"/>
  <c r="F20" i="11"/>
  <c r="G19" i="11"/>
  <c r="I19" i="11"/>
  <c r="H19" i="11"/>
  <c r="J20" i="11"/>
  <c r="J22" i="11"/>
  <c r="J24" i="11"/>
  <c r="B7" i="19"/>
  <c r="D7" i="19"/>
  <c r="G20" i="11"/>
  <c r="G22" i="11"/>
  <c r="I20" i="11"/>
  <c r="I22" i="11"/>
  <c r="I24" i="11"/>
  <c r="B6" i="19"/>
  <c r="D6" i="19"/>
  <c r="H20" i="11"/>
  <c r="H22" i="11"/>
  <c r="H24" i="11"/>
  <c r="B5" i="19"/>
  <c r="D5" i="19"/>
  <c r="B8" i="19"/>
  <c r="D8" i="19"/>
  <c r="G24" i="11"/>
  <c r="B4" i="19"/>
  <c r="D4" i="19"/>
  <c r="D9" i="19"/>
  <c r="D18" i="19"/>
  <c r="L22" i="11"/>
</calcChain>
</file>

<file path=xl/comments1.xml><?xml version="1.0" encoding="utf-8"?>
<comments xmlns="http://schemas.openxmlformats.org/spreadsheetml/2006/main">
  <authors>
    <author>Guy Doriot</author>
  </authors>
  <commentList>
    <comment ref="E41" authorId="0">
      <text>
        <r>
          <rPr>
            <sz val="8"/>
            <color indexed="81"/>
            <rFont val="Tahoma"/>
            <family val="2"/>
          </rPr>
          <t xml:space="preserve">C'est le solde de début de mois n°13 donc de fin d'exercice.
</t>
        </r>
      </text>
    </comment>
    <comment ref="H41" authorId="0">
      <text>
        <r>
          <rPr>
            <sz val="8"/>
            <color indexed="81"/>
            <rFont val="Tahoma"/>
            <family val="2"/>
          </rPr>
          <t xml:space="preserve">C'est le solde de début de mois n°13 donc de fin d'exercice.
</t>
        </r>
      </text>
    </comment>
  </commentList>
</comments>
</file>

<file path=xl/sharedStrings.xml><?xml version="1.0" encoding="utf-8"?>
<sst xmlns="http://schemas.openxmlformats.org/spreadsheetml/2006/main" count="1165" uniqueCount="698">
  <si>
    <t>Produits d'exploitation</t>
  </si>
  <si>
    <t>Ventes de marchandises</t>
  </si>
  <si>
    <t>Production vendue (biens et services)</t>
  </si>
  <si>
    <t>dont à l'exportation :</t>
  </si>
  <si>
    <t>Subventions d'exploitation</t>
  </si>
  <si>
    <t>Reprises sur provisions (et amortissements), transfert de charges</t>
  </si>
  <si>
    <t>Autres produits</t>
  </si>
  <si>
    <t xml:space="preserve">Sous-total (B) </t>
  </si>
  <si>
    <t>Produits financiers</t>
  </si>
  <si>
    <t>De participations</t>
  </si>
  <si>
    <t>D'autres valeurs mobilières et créances de l'actif immobilisé</t>
  </si>
  <si>
    <t>Autres intérêts et produits assimilés</t>
  </si>
  <si>
    <t>Reprises sur provisions et transferts de charges</t>
  </si>
  <si>
    <t>Différences positives de change</t>
  </si>
  <si>
    <t>Produits nets sur cessions de valeur mobilières de placement</t>
  </si>
  <si>
    <t>Produits exceptionnels</t>
  </si>
  <si>
    <t>Sur opérations de gestion</t>
  </si>
  <si>
    <t>Sur opérations de capital</t>
  </si>
  <si>
    <t>Solde débiteur = perte</t>
  </si>
  <si>
    <t>TOTAL GENERAL</t>
  </si>
  <si>
    <t>Exercice N</t>
  </si>
  <si>
    <t>Total des produits d'exploitation (A+B) = (I)</t>
  </si>
  <si>
    <t>Quotes-parts de résultats sur opérations faites en commun = (II)</t>
  </si>
  <si>
    <t>Total des produits financiers (III)</t>
  </si>
  <si>
    <t>Total des produits exceptionnels (IV)</t>
  </si>
  <si>
    <t>Total des produits (I + II + III + IV)</t>
  </si>
  <si>
    <t>Charges d'exploitation</t>
  </si>
  <si>
    <t>Achats de marchandises</t>
  </si>
  <si>
    <t>Variation de stock (stock initial - stock final)</t>
  </si>
  <si>
    <t>Achats de matières premières et autres approvisionnements</t>
  </si>
  <si>
    <t>Salaires et traitements</t>
  </si>
  <si>
    <t>Charges sociales</t>
  </si>
  <si>
    <t>Dotation aux amortissements et aux provisions</t>
  </si>
  <si>
    <t>CHARGES (hors taxes) Classe 6</t>
  </si>
  <si>
    <t>Code</t>
  </si>
  <si>
    <t>Transfert de charges</t>
  </si>
  <si>
    <t>Reprises sur amortissements et provisions</t>
  </si>
  <si>
    <t>sur immobilisations : dotation aux provisions</t>
  </si>
  <si>
    <t>sur actif circulant : dotation aux provisions</t>
  </si>
  <si>
    <t>pour risques et charges : dotations aux provisions</t>
  </si>
  <si>
    <t>Total des charges d'exploitation (I)</t>
  </si>
  <si>
    <t>Quotes-parts de résultats sur opérations faites en commun (II)</t>
  </si>
  <si>
    <t>Charges financières</t>
  </si>
  <si>
    <t>PRODUITS (hors taxes) Classe 7</t>
  </si>
  <si>
    <t>Dotations aux amortissements et aux provisions</t>
  </si>
  <si>
    <t>Différences négatives de change</t>
  </si>
  <si>
    <t>Charges nettes sur cessions de valeurs mobilières de placement</t>
  </si>
  <si>
    <t>Total des charges financières (III)</t>
  </si>
  <si>
    <t>Charges exceptionnelles</t>
  </si>
  <si>
    <t>Sur opérations en capital</t>
  </si>
  <si>
    <t>Total des charges exceptionnelles (IV)</t>
  </si>
  <si>
    <t>Participation des salariés aux fruits de l'expansion (V)</t>
  </si>
  <si>
    <t>ACTIF</t>
  </si>
  <si>
    <t>Immobilisations incorporelles</t>
  </si>
  <si>
    <t>Frais d'établissement</t>
  </si>
  <si>
    <t>Frais de recherche et de développement</t>
  </si>
  <si>
    <t>Concessions, brevets, licences, marques, procédés, droits et valeurs similaires</t>
  </si>
  <si>
    <t>Fonds commercial</t>
  </si>
  <si>
    <t>Autres</t>
  </si>
  <si>
    <t>Avances et acomptes</t>
  </si>
  <si>
    <t>Immobilisations corporelles</t>
  </si>
  <si>
    <t>Terrains</t>
  </si>
  <si>
    <t>Constructions</t>
  </si>
  <si>
    <t>Immobilisations corporelles en-cours</t>
  </si>
  <si>
    <t>Immobilisations financières</t>
  </si>
  <si>
    <t>Participations</t>
  </si>
  <si>
    <t>Créances rattachées à des participations</t>
  </si>
  <si>
    <t>Autres titres immobilisés</t>
  </si>
  <si>
    <t>Prêts</t>
  </si>
  <si>
    <t>Stocks et en-cours</t>
  </si>
  <si>
    <t>Matières premières et autres approvisionnements</t>
  </si>
  <si>
    <t>Produits intermédiaires et finis</t>
  </si>
  <si>
    <t>Marchandises (à revendre en l'état)</t>
  </si>
  <si>
    <t>Créances</t>
  </si>
  <si>
    <t>Créances clients et comptes rattachés</t>
  </si>
  <si>
    <t>Capital souscrit appelé et non versé</t>
  </si>
  <si>
    <t>Valeurs mobilières de placement</t>
  </si>
  <si>
    <t>Actions propres</t>
  </si>
  <si>
    <t>Autres titres</t>
  </si>
  <si>
    <t>Charges constatées d'avance</t>
  </si>
  <si>
    <t>Charges à répartir sur plusieurs exercices</t>
  </si>
  <si>
    <t>Primes de remboursement des obligations</t>
  </si>
  <si>
    <t>Ecarts de conversion Actif</t>
  </si>
  <si>
    <t>ACTIF IMMOBILISE</t>
  </si>
  <si>
    <t>ACTIF CIRCULANT</t>
  </si>
  <si>
    <t>COMPTES DE REGULARISATION</t>
  </si>
  <si>
    <t>(Actionnaires), capital souscrit non appelé (I)</t>
  </si>
  <si>
    <t>TOTAL ACTIF IMMOBILISE (II)</t>
  </si>
  <si>
    <t>TOTAL ACTIF CIRCULANT (III)</t>
  </si>
  <si>
    <t>TOTAL COMPTES DE REGULARISATION (IV)</t>
  </si>
  <si>
    <t>PASSIF</t>
  </si>
  <si>
    <t>Prime d'émission, de fusion, d'apport</t>
  </si>
  <si>
    <t>Ecarts de réévaluation</t>
  </si>
  <si>
    <t>Réserves</t>
  </si>
  <si>
    <t>Réserves statutaires et contractuelles</t>
  </si>
  <si>
    <t>Réserves réglementées</t>
  </si>
  <si>
    <t>Autres réserves (facultatives)</t>
  </si>
  <si>
    <t>Résultat net de l'exercice (bénéfice ou perte)</t>
  </si>
  <si>
    <t>Subventions d'investissement</t>
  </si>
  <si>
    <t>Provisions réglementées</t>
  </si>
  <si>
    <t>CAPITAUX PROPRES</t>
  </si>
  <si>
    <t>TOTAL CAPITAUX PROPRES (I)</t>
  </si>
  <si>
    <t>PROVISIONS POUR RISQUES ET CHARGES</t>
  </si>
  <si>
    <t xml:space="preserve">Provisions pour risques </t>
  </si>
  <si>
    <t>Provisions pour charges</t>
  </si>
  <si>
    <t>DETTES</t>
  </si>
  <si>
    <t>Emprunts obligataires convertibles</t>
  </si>
  <si>
    <t>Autres emprunts obligataires</t>
  </si>
  <si>
    <t>Emprunt et dettes financières divers</t>
  </si>
  <si>
    <t>Dettes sur immobilisations et comptes rattachés</t>
  </si>
  <si>
    <t>Produits constatés d'avance</t>
  </si>
  <si>
    <t>Ecarts de conversion Passif</t>
  </si>
  <si>
    <t>TOTAL PROVISIONS POUR RISQUES ET CHARGES (II)</t>
  </si>
  <si>
    <t>TOTAL DETTES (III)</t>
  </si>
  <si>
    <t>TOTAL GENERAL PASSIF (I + II + III + IV)</t>
  </si>
  <si>
    <t>TOTAL GENERAL ACTIF (I + II + III+ IV)</t>
  </si>
  <si>
    <t>Amortst</t>
  </si>
  <si>
    <t>URSSAF</t>
  </si>
  <si>
    <t>Caisse de retraite complémentaire ARCCO</t>
  </si>
  <si>
    <t>Caisse de retraite des cadres AGIRC</t>
  </si>
  <si>
    <t>Assedic</t>
  </si>
  <si>
    <t>Mutuelle et prévoyance</t>
  </si>
  <si>
    <t>Autres organismes sociaux</t>
  </si>
  <si>
    <t>Taxe d'apprentissage</t>
  </si>
  <si>
    <t>Participation à la formation professionnelle continue</t>
  </si>
  <si>
    <t>Participation des employeurs à l'effort de construction</t>
  </si>
  <si>
    <t>Taxe professionnelle</t>
  </si>
  <si>
    <t>Taxe foncière</t>
  </si>
  <si>
    <t>Taxe sur les véhicules de société</t>
  </si>
  <si>
    <t>Directeur général ou gérant</t>
  </si>
  <si>
    <t>Directeur commercial</t>
  </si>
  <si>
    <t>Directeur Technique et de R&amp;D</t>
  </si>
  <si>
    <t>Chefs de projet</t>
  </si>
  <si>
    <t>Secrétariat</t>
  </si>
  <si>
    <t>Développeurs informaticiens</t>
  </si>
  <si>
    <t>Infographistes</t>
  </si>
  <si>
    <t>Sous-traitance</t>
  </si>
  <si>
    <t>Redevances de crédit-bail</t>
  </si>
  <si>
    <t>Loyers et charges locatives</t>
  </si>
  <si>
    <t>Entretien et réparations</t>
  </si>
  <si>
    <t>Assurances</t>
  </si>
  <si>
    <t>Personnel intérimaire</t>
  </si>
  <si>
    <t>Honoraires</t>
  </si>
  <si>
    <t>Publicité, publications, relations publiques</t>
  </si>
  <si>
    <t>Déplacement, missions et réceptions</t>
  </si>
  <si>
    <t>Frais postaux et de télécommunications</t>
  </si>
  <si>
    <t>Petit matériel</t>
  </si>
  <si>
    <t>Fournitures de bureau</t>
  </si>
  <si>
    <t>Documentation et frais de colloques, séminaires</t>
  </si>
  <si>
    <t>EDF-GDF, Eau</t>
  </si>
  <si>
    <t>Responsables de production</t>
  </si>
  <si>
    <t>Base</t>
  </si>
  <si>
    <t>Montant</t>
  </si>
  <si>
    <t>Production immobilisée (de l'entreprise pour elle-même)</t>
  </si>
  <si>
    <t>Autres charges externes (x% de la masse salariale brute)</t>
  </si>
  <si>
    <t>Salaires et traitements bruts</t>
  </si>
  <si>
    <t>Impôts et taxes (y% de la masse salariale brute)</t>
  </si>
  <si>
    <t>Charges sociales (z% de la masse salariale brute)</t>
  </si>
  <si>
    <t xml:space="preserve">Autres achats et charges externes dont sous-traitance </t>
  </si>
  <si>
    <t>Directeur Géneral</t>
  </si>
  <si>
    <t>Directeur Commercial</t>
  </si>
  <si>
    <t>Directeur Technique et R&amp;D</t>
  </si>
  <si>
    <t>Chef de projet 1</t>
  </si>
  <si>
    <t>Responsable de production 1</t>
  </si>
  <si>
    <t>Développeur informaticien 1</t>
  </si>
  <si>
    <t>Développeur informaticien 2</t>
  </si>
  <si>
    <t>Infographiste 1</t>
  </si>
  <si>
    <t>Infographiste 2</t>
  </si>
  <si>
    <t>Exercice N°1</t>
  </si>
  <si>
    <t>Invest</t>
  </si>
  <si>
    <t>Postes</t>
  </si>
  <si>
    <t>Amort.</t>
  </si>
  <si>
    <t>Mois</t>
  </si>
  <si>
    <t>Agencements (5ans)</t>
  </si>
  <si>
    <t>Matériel de bureau (5ans)</t>
  </si>
  <si>
    <t>Salle de réunion et de démonstration</t>
  </si>
  <si>
    <t xml:space="preserve">Agencements </t>
  </si>
  <si>
    <t>Total total Investissement</t>
  </si>
  <si>
    <t>Total total Amortissement</t>
  </si>
  <si>
    <t>sur immobilisations : dotation aux amortissements (voir détail au tableau d'immo)</t>
  </si>
  <si>
    <t>Production stockée (Stock final-stock initial)(travaux en-cours)</t>
  </si>
  <si>
    <t>DG</t>
  </si>
  <si>
    <t>DC</t>
  </si>
  <si>
    <t>DT et R&amp;D</t>
  </si>
  <si>
    <t>Chefs de projets</t>
  </si>
  <si>
    <t>Resp. de prod.</t>
  </si>
  <si>
    <t>Impôts et taxes</t>
  </si>
  <si>
    <t>Sections principales</t>
  </si>
  <si>
    <t>DG et secrétariat</t>
  </si>
  <si>
    <t>Sections auxiliaires</t>
  </si>
  <si>
    <t>Total frais de personnel</t>
  </si>
  <si>
    <t>Prorata frais de personnel</t>
  </si>
  <si>
    <t>DT R&amp;D</t>
  </si>
  <si>
    <t>Total frais de section SP après imputation</t>
  </si>
  <si>
    <t>Taux horaire en coût de revient complet</t>
  </si>
  <si>
    <t>Prorata heures</t>
  </si>
  <si>
    <t>Effectif en fin d'exercice</t>
  </si>
  <si>
    <t xml:space="preserve">CHARGES </t>
  </si>
  <si>
    <t>Total CHARGES hors sous-traitance</t>
  </si>
  <si>
    <t>Clefs de répartition</t>
  </si>
  <si>
    <t>Autres charges externes par abonnement</t>
  </si>
  <si>
    <t>Impôts et taxes par abonnement</t>
  </si>
  <si>
    <t>Salaires chefs de projet</t>
  </si>
  <si>
    <t>Salaires responsables de production</t>
  </si>
  <si>
    <t>Salaires développeurs informaticiens</t>
  </si>
  <si>
    <t>Salaires infographistes</t>
  </si>
  <si>
    <t>Solde en banque et Caisse en début de mois (A)</t>
  </si>
  <si>
    <t>Apport en capital</t>
  </si>
  <si>
    <t>Investissements en immobilisations TTC</t>
  </si>
  <si>
    <t>Total Encaissements (E)</t>
  </si>
  <si>
    <t>Total Décaissements (F)</t>
  </si>
  <si>
    <t>Emprunts Moyen Terme contractés pour immo</t>
  </si>
  <si>
    <t>Frais financiers</t>
  </si>
  <si>
    <t>Encaissements (Ressources)</t>
  </si>
  <si>
    <t>Décaissements (Emplois)</t>
  </si>
  <si>
    <t>Concours Court terme Loi Dailly (80% du CA facturé TTC)</t>
  </si>
  <si>
    <t>Remboursements Dailly à échéance d'encaissement client</t>
  </si>
  <si>
    <t>Intérêts en-cours Dailly à 8% l'an</t>
  </si>
  <si>
    <t>Flux de trésorerie du mois</t>
  </si>
  <si>
    <t>Investissements en immobilisations incorporelles</t>
  </si>
  <si>
    <t>Frais de recherche et développement avant création (Navicub)</t>
  </si>
  <si>
    <t>Frais d'établissement amortis en 3 ans</t>
  </si>
  <si>
    <t>Frais de 1er établissement</t>
  </si>
  <si>
    <t>Frais de recherche et développement</t>
  </si>
  <si>
    <t>Résultat net après impôts</t>
  </si>
  <si>
    <t>Résultat avant impôts</t>
  </si>
  <si>
    <t>Dépenses d'exploitation (Décaissements d'exploitation)</t>
  </si>
  <si>
    <t>En-cours de production en fin d'exercice non facturés (biens et services)</t>
  </si>
  <si>
    <t xml:space="preserve">Montant net du chiffre d'affaires HT facturé Sous-total (A) </t>
  </si>
  <si>
    <t>Dettes sociales</t>
  </si>
  <si>
    <t xml:space="preserve">Impôts sur les bénéfices (VI) </t>
  </si>
  <si>
    <t xml:space="preserve">TOTAL DES CHARGES (I + II +III + IV) </t>
  </si>
  <si>
    <t>Invst</t>
  </si>
  <si>
    <t>Amort</t>
  </si>
  <si>
    <t>Dettes fournisseurs et comptes rattachés (achats ou prestations de services : sous-traitance à payer au mois N°13)</t>
  </si>
  <si>
    <t>Capital social (dont versé)</t>
  </si>
  <si>
    <t>CA1</t>
  </si>
  <si>
    <t>BFR A1 = Besoin en fonds de roulement A1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</si>
  <si>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</si>
  <si>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</si>
  <si>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</si>
  <si>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</si>
  <si>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</si>
  <si>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</si>
  <si>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</si>
  <si>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</si>
  <si>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</si>
  <si>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</si>
  <si>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</si>
  <si>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</si>
  <si>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Directeur général</t>
  </si>
  <si>
    <t>Directeur technique et R&amp;D</t>
  </si>
  <si>
    <t>Secrétaire</t>
  </si>
  <si>
    <t>Chef de projet</t>
  </si>
  <si>
    <t>Salaire mensuel brut</t>
  </si>
  <si>
    <t>Responsable de production</t>
  </si>
  <si>
    <t>Dév Informaticiens</t>
  </si>
  <si>
    <t>Total</t>
  </si>
  <si>
    <t>Total total</t>
  </si>
  <si>
    <t>Taux horaires exercice N°1</t>
  </si>
  <si>
    <t>Vérif total</t>
  </si>
  <si>
    <t>Imputation des frais de sections SA</t>
  </si>
  <si>
    <t>Dotation aux amortissements (corporels et incorporels)</t>
  </si>
  <si>
    <t>Fin</t>
  </si>
  <si>
    <t>Main d'œuvre directe</t>
  </si>
  <si>
    <t>Développeur informaticien</t>
  </si>
  <si>
    <t>Infographiste</t>
  </si>
  <si>
    <t>Frais de déplacement</t>
  </si>
  <si>
    <t>Auteur</t>
  </si>
  <si>
    <t>Scénariste</t>
  </si>
  <si>
    <t>Photographe</t>
  </si>
  <si>
    <t>Budget PR</t>
  </si>
  <si>
    <t>Heures sur contrat</t>
  </si>
  <si>
    <t>Total sous-traitance</t>
  </si>
  <si>
    <t>Total MOD</t>
  </si>
  <si>
    <t>Flux mensuel exploitation D = (B-C)</t>
  </si>
  <si>
    <t>Flux mensuel Ressources-Emplois G = (E-F)</t>
  </si>
  <si>
    <t>Flux mensuel global de trésorerie (D+G)</t>
  </si>
  <si>
    <t xml:space="preserve">Intérêts des emprunts </t>
  </si>
  <si>
    <t>Agios sur découvert</t>
  </si>
  <si>
    <t>Remboursement d'emprunts pour immo (3 ans à 7%) (capital)</t>
  </si>
  <si>
    <t>Agios financiers sur découvert de fin de mois précédent</t>
  </si>
  <si>
    <t>Flux mensuel d'exploitation</t>
  </si>
  <si>
    <t>Charges sociales à payer au mois suivant les salaires</t>
  </si>
  <si>
    <t xml:space="preserve">Intérêts de l'emprunt pour immobilisations </t>
  </si>
  <si>
    <t>Fév</t>
  </si>
  <si>
    <t>Capital social</t>
  </si>
  <si>
    <t>Stocks et travaux en-cours</t>
  </si>
  <si>
    <t>+ TVA fournisseurs</t>
  </si>
  <si>
    <t>+ Créances clients</t>
  </si>
  <si>
    <t>- Dettes fournisseurs TTC</t>
  </si>
  <si>
    <t>- Dettes fiscales</t>
  </si>
  <si>
    <t>- Dettes sociales</t>
  </si>
  <si>
    <t>- TVA sur créances clients</t>
  </si>
  <si>
    <t>Trésorerie = FR - BFR</t>
  </si>
  <si>
    <t>- Immobilisations nettes</t>
  </si>
  <si>
    <t>Total BFR A1</t>
  </si>
  <si>
    <t>Total FR A1</t>
  </si>
  <si>
    <t>FR A1 = Fonds de roulement en année 1</t>
  </si>
  <si>
    <t>CROISSANCE DU CA PAR AUTOFINANCEMENT</t>
  </si>
  <si>
    <t>Besoins durables</t>
  </si>
  <si>
    <t>Investissements H.T.</t>
  </si>
  <si>
    <t>Besoin en fonds de roulement</t>
  </si>
  <si>
    <t>Ressources durables</t>
  </si>
  <si>
    <t>Comptes courants d'associés</t>
  </si>
  <si>
    <t>Subventions ou primes d'équipements</t>
  </si>
  <si>
    <t>Emprunts à long et moyen terme</t>
  </si>
  <si>
    <t>Total Besoins</t>
  </si>
  <si>
    <t>Total Ressources</t>
  </si>
  <si>
    <t>Disponibilités en banque</t>
  </si>
  <si>
    <t>Découvert en banque</t>
  </si>
  <si>
    <t>Modalités de règlement clients</t>
  </si>
  <si>
    <t>Total Charges</t>
  </si>
  <si>
    <t>FR</t>
  </si>
  <si>
    <t>BFR</t>
  </si>
  <si>
    <t>Facturation à mi-délai de chaque contrat</t>
  </si>
  <si>
    <t>Facturation du solde à réception du programme</t>
  </si>
  <si>
    <t>Modalités de règlement des fournisseurs</t>
  </si>
  <si>
    <t>Acompte comptant à la commande</t>
  </si>
  <si>
    <t>Prêt pour immobilisations</t>
  </si>
  <si>
    <t>Taux annuel</t>
  </si>
  <si>
    <t>Intérêts du prêt pour immobilisations</t>
  </si>
  <si>
    <t>Montant total des frais financiers</t>
  </si>
  <si>
    <t>Dividendes distribués (x% du résultat après impôts)</t>
  </si>
  <si>
    <t>J</t>
  </si>
  <si>
    <t>F</t>
  </si>
  <si>
    <t>M</t>
  </si>
  <si>
    <t>A</t>
  </si>
  <si>
    <t>S</t>
  </si>
  <si>
    <t>O</t>
  </si>
  <si>
    <t>N</t>
  </si>
  <si>
    <t>D</t>
  </si>
  <si>
    <t>Facturation TTC</t>
  </si>
  <si>
    <t>Encaisse TTC</t>
  </si>
  <si>
    <t>Commande Mars</t>
  </si>
  <si>
    <t>Commande Avril</t>
  </si>
  <si>
    <t>Commande Mai</t>
  </si>
  <si>
    <t>Commande Juin</t>
  </si>
  <si>
    <t>Commande Juillet</t>
  </si>
  <si>
    <t>Commande Août</t>
  </si>
  <si>
    <t>Commande Septembre</t>
  </si>
  <si>
    <t>Commande Octobre</t>
  </si>
  <si>
    <t>Commande Novembre</t>
  </si>
  <si>
    <t>Commande Décembre</t>
  </si>
  <si>
    <t>Total Encaisse mensuelle</t>
  </si>
  <si>
    <t>Délai de règlement des factures en jours</t>
  </si>
  <si>
    <t>Rappel des Modalités de règlement clients</t>
  </si>
  <si>
    <t>Perte d'exploitation</t>
  </si>
  <si>
    <t>Taux horaires sous-traitance</t>
  </si>
  <si>
    <t>Equipe audio-vidéo</t>
  </si>
  <si>
    <t>Salaires bruts mensuels Medi@form</t>
  </si>
  <si>
    <t>Taux de charges sociales patronales sur salaires bruts</t>
  </si>
  <si>
    <t>Autres achats externes (% de la masse salariale)</t>
  </si>
  <si>
    <t>Impôts et taxes (% de la masse salariale)</t>
  </si>
  <si>
    <t>Impôts sur les bénéfices (% du résultat d'exploitation)</t>
  </si>
  <si>
    <t>Total Passif</t>
  </si>
  <si>
    <t>Total Actif</t>
  </si>
  <si>
    <t>Emprunt et dettes auprès des établissements de crédit (reste à rembourser en capital)</t>
  </si>
  <si>
    <t>Taux annuel du découvert</t>
  </si>
  <si>
    <t>PARAMETRES</t>
  </si>
  <si>
    <t>RESULTATS</t>
  </si>
  <si>
    <t>Factures fournisseurs TTC reçues dans le mois pour les achats externes</t>
  </si>
  <si>
    <t>Factures fournisseurs TTC reçues dans le mois pour les immobilisations</t>
  </si>
  <si>
    <t>Factures des sous-traitants reçues dans le mois de fin des contrats</t>
  </si>
  <si>
    <t>Flux net de TVA à régler dans le mois (voir calcul TVA)</t>
  </si>
  <si>
    <t>+ Emprunt à long et moyen terme (net après remboursement)</t>
  </si>
  <si>
    <t>Durée de remboursement sur combien de mois</t>
  </si>
  <si>
    <t xml:space="preserve">Planning des commandes </t>
  </si>
  <si>
    <t>Avril</t>
  </si>
  <si>
    <t>Juillet</t>
  </si>
  <si>
    <t>Septembre</t>
  </si>
  <si>
    <t>Octobre</t>
  </si>
  <si>
    <t>Novembre</t>
  </si>
  <si>
    <t>Décembre</t>
  </si>
  <si>
    <t>Oui</t>
  </si>
  <si>
    <t>invariable</t>
  </si>
  <si>
    <t>Valeur de l'en-cours</t>
  </si>
  <si>
    <t>30j</t>
  </si>
  <si>
    <t>tx = taux d'impôts</t>
  </si>
  <si>
    <t>Résultat d'exploitation avant impôts : BN2</t>
  </si>
  <si>
    <t xml:space="preserve">EQUATION DE PERFORMANCE FINANCIERE ET LEVIER FINANCIER </t>
  </si>
  <si>
    <t>+ Résultat d'exploitation après impôts</t>
  </si>
  <si>
    <t>CA2 Objectif</t>
  </si>
  <si>
    <t>c = taux de croissance du CA = (CA2-CA1)/CA1</t>
  </si>
  <si>
    <t>BFR A1</t>
  </si>
  <si>
    <t>a = autofinancement / CA1</t>
  </si>
  <si>
    <t>Jusqu'à quel niveau de dividendes peut-on encore financer la croissance par autofinancement ?</t>
  </si>
  <si>
    <t>BFR en A2</t>
  </si>
  <si>
    <t>Augmentation du BFR en A2 par rapport à A1</t>
  </si>
  <si>
    <t>Montant de l'emprunt pour financer le reste de l'augmentation du BFR en A2 par rapport à A1</t>
  </si>
  <si>
    <t>d = Dividendes distribués</t>
  </si>
  <si>
    <t>autofinancement = Résultat d'exploitation après impôts et avant distribution de dividendes d = BN1</t>
  </si>
  <si>
    <t xml:space="preserve">b = BFR A1/CA1 </t>
  </si>
  <si>
    <t>Autofinancement net restant pour financer l'augmentation du BFR</t>
  </si>
  <si>
    <t>Autofinancement possible ?</t>
  </si>
  <si>
    <t>BN1 après impôts = (1-tx) BN2 = [D.(Re-i)+Re.CP](1-tx)</t>
  </si>
  <si>
    <t>Rentabilité financière = Rf1 = BN1/CP = [(D/CP)x(Re3-i) + Re3](1-tx)</t>
  </si>
  <si>
    <t>Valeurs A1</t>
  </si>
  <si>
    <t>Valeurs A2</t>
  </si>
  <si>
    <t>Février</t>
  </si>
  <si>
    <t>Janvier</t>
  </si>
  <si>
    <t>Contrat sans vidéo</t>
  </si>
  <si>
    <t>Contrat avec vidéo</t>
  </si>
  <si>
    <t>Non</t>
  </si>
  <si>
    <t>invariable 4 mois</t>
  </si>
  <si>
    <t>Durée de réalisation de chaque commande</t>
  </si>
  <si>
    <t>invariable 5 mois</t>
  </si>
  <si>
    <t xml:space="preserve">Valeurs réf A1 </t>
  </si>
  <si>
    <t>Valeurs réf A2</t>
  </si>
  <si>
    <t>EXERCICE A1</t>
  </si>
  <si>
    <t>EXERCICE A2</t>
  </si>
  <si>
    <t>Commercial N°2</t>
  </si>
  <si>
    <t>Facturation à 2 mois ou à 3 mois de chaque contrat</t>
  </si>
  <si>
    <t>Sous-traitants : paiement à 30 j à réception de factures</t>
  </si>
  <si>
    <t>Achats externes : paiement au comptant</t>
  </si>
  <si>
    <t>Planning de production, de facturation, d'encaisse A1</t>
  </si>
  <si>
    <t>Planning de production, de facturation, d'encaisse A2</t>
  </si>
  <si>
    <t>Base contrat sans vidéo TTC A1</t>
  </si>
  <si>
    <t>Base contrat sans vidéo TTC A2</t>
  </si>
  <si>
    <t>Base contrat avec vidéo TTC A2</t>
  </si>
  <si>
    <t>Commande Janvier</t>
  </si>
  <si>
    <t>Commande Février</t>
  </si>
  <si>
    <t xml:space="preserve">Facturation TTC </t>
  </si>
  <si>
    <t>CONTRATS SANS VIDEO</t>
  </si>
  <si>
    <t>CONTRATS AVEC VIDEO</t>
  </si>
  <si>
    <t xml:space="preserve">Sous-traitance TTC Contrat sans vidéo </t>
  </si>
  <si>
    <t xml:space="preserve">Sous-traitance TTC Contrat avec vidéo </t>
  </si>
  <si>
    <t>Contrats terminés sans vidéo</t>
  </si>
  <si>
    <t>Contrats terminés avec vidéo</t>
  </si>
  <si>
    <t>Dév. informaticiens</t>
  </si>
  <si>
    <t>Taux horaires exercice N°2</t>
  </si>
  <si>
    <t>Exercice N+1</t>
  </si>
  <si>
    <t>Exercice N°2</t>
  </si>
  <si>
    <t>Chef de projet 2</t>
  </si>
  <si>
    <t>Responsable de production 2</t>
  </si>
  <si>
    <t>Développeur informaticien 3</t>
  </si>
  <si>
    <t>Infographiste 3</t>
  </si>
  <si>
    <t>Matériel et logiciel de production et d'administration (3 ans)</t>
  </si>
  <si>
    <t>Total total Investissement H.T. de l'exercice</t>
  </si>
  <si>
    <t>Total total Amortissement de l'exercice</t>
  </si>
  <si>
    <t>Investissement H.T. Exercice</t>
  </si>
  <si>
    <t>Amortissement Exercice</t>
  </si>
  <si>
    <t>Achats et charges externes hors sous-traitance et frais de déplacement</t>
  </si>
  <si>
    <t>Nombre de mois de salaires</t>
  </si>
  <si>
    <t>Les cellules grisées indiquent un mois d'embauche</t>
  </si>
  <si>
    <t>Contrats sans vidéo terminés</t>
  </si>
  <si>
    <t>Contrats avec vidéo terminés</t>
  </si>
  <si>
    <r>
      <t xml:space="preserve">Les </t>
    </r>
    <r>
      <rPr>
        <b/>
        <sz val="8"/>
        <rFont val="Arial"/>
        <family val="2"/>
      </rPr>
      <t>amortissements</t>
    </r>
    <r>
      <rPr>
        <sz val="8"/>
        <rFont val="Arial"/>
        <family val="2"/>
      </rPr>
      <t xml:space="preserve"> sont déjà inclus dans les taux horaires en coût complet</t>
    </r>
  </si>
  <si>
    <t>TH</t>
  </si>
  <si>
    <t>PV TTC décidé</t>
  </si>
  <si>
    <t>PV HT décidé</t>
  </si>
  <si>
    <t>Frais de déplacement des contrats terminés</t>
  </si>
  <si>
    <t>CA TTC facturé</t>
  </si>
  <si>
    <t>Travail produit au 31/12/A1</t>
  </si>
  <si>
    <t>Prix de vente HT du contrat avec vidéo</t>
  </si>
  <si>
    <t>Net fin N</t>
  </si>
  <si>
    <t>Net fin N+1</t>
  </si>
  <si>
    <t>Impôts sur bénéfices</t>
  </si>
  <si>
    <t>Postes du contrat</t>
  </si>
  <si>
    <t>Total budget contrat calculé</t>
  </si>
  <si>
    <t>Nombre de contrats sans vidéo terminés dans l'exercice</t>
  </si>
  <si>
    <t>Nombre de contrats avec vidéo terminés dans l'exercice</t>
  </si>
  <si>
    <t>Frais de déplacement contrat avec vidéo (2000 € par contrat terminé)</t>
  </si>
  <si>
    <t>Frais de déplacement contrat sans vidéo (2000 € par contrat terminé)</t>
  </si>
  <si>
    <t xml:space="preserve">Prix de vente HT du contrat sans vidéo </t>
  </si>
  <si>
    <t xml:space="preserve">Solde en banque au 31/12 </t>
  </si>
  <si>
    <t>Total Produits (y compris variations de TEC)</t>
  </si>
  <si>
    <t>FONDS DE ROULEMENT ET BESOIN EN FONDS DE ROULEMENT A1</t>
  </si>
  <si>
    <t>FONDS DE ROULEMENT ET BESOIN EN FONDS DE ROULEMENT A2</t>
  </si>
  <si>
    <t>BUDGET PR DU CONTRAT SANS VIDEO A1</t>
  </si>
  <si>
    <t xml:space="preserve">Budget PR </t>
  </si>
  <si>
    <t>BUDGET PR DU CONTRAT SANS VIDEO A2</t>
  </si>
  <si>
    <t>BUDGET PR DU CONTRAT AVEC VIDEO A2</t>
  </si>
  <si>
    <t>Travail facturé au 31/12/A1</t>
  </si>
  <si>
    <t>Résultat</t>
  </si>
  <si>
    <t>PV H.T.</t>
  </si>
  <si>
    <t>Dividendes distribués</t>
  </si>
  <si>
    <t>Avant répartition des bénéfices</t>
  </si>
  <si>
    <t>Après répartition des bénéfices</t>
  </si>
  <si>
    <t>Dividendes à distribuer en N+1</t>
  </si>
  <si>
    <t>Sous-total situation nette après répartition = capital + réserves + report à nouveau</t>
  </si>
  <si>
    <t>Report à nouveau après répartition des résultats (somme des déficits des exercices antérieurs)</t>
  </si>
  <si>
    <t>Réserve légale : 5% du résultat jusqu'à 10% du capital social</t>
  </si>
  <si>
    <t>Facturation de l'acompte à la commande</t>
  </si>
  <si>
    <t>Absenteïsme en nbre de jours annuel</t>
  </si>
  <si>
    <t xml:space="preserve">Nombre d'heures théorique de présence annuelle du personnel </t>
  </si>
  <si>
    <t xml:space="preserve">Nombre d'heures réel moyen de présence mensuelle du personnel  </t>
  </si>
  <si>
    <t>N° de mois</t>
  </si>
  <si>
    <t>Nombre de contrats sans vidéo commandés dans l'exercice</t>
  </si>
  <si>
    <t>Nombre de contrats avec vidéo commandés dans l'exercice</t>
  </si>
  <si>
    <t>Année A1</t>
  </si>
  <si>
    <t>Année A2</t>
  </si>
  <si>
    <t>Budget en PR d'un contrat sans vidéo</t>
  </si>
  <si>
    <t>Budget en PR d'un contrat avec vidéo</t>
  </si>
  <si>
    <t>Travaux en-cours des contrats sans vidéo au 31/12</t>
  </si>
  <si>
    <t>Travaux en-cours des contrats avec vidéo au 31/12</t>
  </si>
  <si>
    <t>Travail produit au 31/12/A2</t>
  </si>
  <si>
    <t>Travail facturé au 31/12/A2</t>
  </si>
  <si>
    <t>Commande de décembre (à son début)(10% de facturé)</t>
  </si>
  <si>
    <t>Commande d'août (aux 4/5 terminée)(10%+40% de facturé)</t>
  </si>
  <si>
    <t>Commande de septembre (aux 3/4 terminée)(10%+40% de facturé)</t>
  </si>
  <si>
    <t>Commande d'octobre (à moitié terminée) (10%+40% de facturé)</t>
  </si>
  <si>
    <t>Commande de novembre (au 1/4 terminée)(10% de facturé)</t>
  </si>
  <si>
    <t>Commande d'octobre (aux 2/5 terminée)(10% de facturé)</t>
  </si>
  <si>
    <t>FR A2 = Fonds de roulement en année 2</t>
  </si>
  <si>
    <t>Total FR A2</t>
  </si>
  <si>
    <t>BFR A2 = Besoin en fonds de roulement A2</t>
  </si>
  <si>
    <t>Total BFR A2</t>
  </si>
  <si>
    <t xml:space="preserve">Installations techniques, matériel et outillages industriels </t>
  </si>
  <si>
    <t>Salaire scènariste</t>
  </si>
  <si>
    <t>Total Facturation TTC mensuelle</t>
  </si>
  <si>
    <t>TVA comptabilisée sur factures fournisseurs reçues dans le mois</t>
  </si>
  <si>
    <t>Autres (TVA sur fournisseurs comptabilisée dans le solde de décembre qui sera payé en janvier)</t>
  </si>
  <si>
    <t>A = Actif total</t>
  </si>
  <si>
    <t>D = Dettes totales = A - CP</t>
  </si>
  <si>
    <t>Dettes à moyen et long terme</t>
  </si>
  <si>
    <t xml:space="preserve">Charges financières totales FF= iD </t>
  </si>
  <si>
    <t>Intérêts des dettes à long et moyen terme</t>
  </si>
  <si>
    <t>i = taux d'intérêt moyen des dettes = FF/D</t>
  </si>
  <si>
    <t xml:space="preserve">BN3 = Bénéfice d'exploitation avant charges financières </t>
  </si>
  <si>
    <t>Re3 = BN3/A = Rentabilité économique de l'actif total</t>
  </si>
  <si>
    <t>p = Taux de rétention des bénéfices pour l'entreprise</t>
  </si>
  <si>
    <t>Rc = rentabilité des capitaux propres pour l'entreprise  = p x Rf1</t>
  </si>
  <si>
    <t>Ra = rentabilité des capitaux pour les actionnaires  = (1-p)xRf1</t>
  </si>
  <si>
    <t>Taux de croissance intrinséque des capitaux = p(1-t)xRe3</t>
  </si>
  <si>
    <t>Taux de croissance extrinséque des capitaux = p(1-t)x[D/CP(Re3-i)]</t>
  </si>
  <si>
    <t>A1</t>
  </si>
  <si>
    <t>A2</t>
  </si>
  <si>
    <t>Total total Facturation TTC</t>
  </si>
  <si>
    <t>Total total Encaisse TTC</t>
  </si>
  <si>
    <t>Détail facturation TTC sans vidéo</t>
  </si>
  <si>
    <t>Détail facturation TTC avec vidéo</t>
  </si>
  <si>
    <t>Avances et acomptes reçus sur commandes clients en-cours</t>
  </si>
  <si>
    <t>Avances et acomptes versés sur commandes fournisseurs</t>
  </si>
  <si>
    <t>Commande de septembre (aux 3/5 terminée)(10%+40% de facturé)</t>
  </si>
  <si>
    <t>Commande de novembre (aux 1/5 terminée)(10% de facturé)</t>
  </si>
  <si>
    <t>VALEUR DES TEC A PORTER A l'ACTIF</t>
  </si>
  <si>
    <t>VARIATION DE TEC A PORTER AU COMPTE DE RESULTAT</t>
  </si>
  <si>
    <t>Planning de production, de facturation, d'encaisse A3</t>
  </si>
  <si>
    <t>Invst Brut en N</t>
  </si>
  <si>
    <t>Invst Brut en N+1</t>
  </si>
  <si>
    <t>BN2 après charges financières et avant impôts = BN3 -iD = D.(Re-i)+Re.CP</t>
  </si>
  <si>
    <t>CP = Capitaux propres de début d'année</t>
  </si>
  <si>
    <t>COMPTE DE RESULTAT</t>
  </si>
  <si>
    <t>BILAN</t>
  </si>
  <si>
    <t>Produits</t>
  </si>
  <si>
    <t>Passif</t>
  </si>
  <si>
    <t>Avant</t>
  </si>
  <si>
    <t>Après</t>
  </si>
  <si>
    <t>Delta</t>
  </si>
  <si>
    <t>CA HT</t>
  </si>
  <si>
    <t>TEC</t>
  </si>
  <si>
    <t>Résultat net de l'exercice</t>
  </si>
  <si>
    <t>Total Produits</t>
  </si>
  <si>
    <t>Capitaux propres</t>
  </si>
  <si>
    <t>Charges</t>
  </si>
  <si>
    <t>Dettes auprès des établissements de crédit</t>
  </si>
  <si>
    <t>Achats externes</t>
  </si>
  <si>
    <t>Dettes fournisseurs</t>
  </si>
  <si>
    <t>Dettes fiscales</t>
  </si>
  <si>
    <t>Salaires bruts</t>
  </si>
  <si>
    <t>TVA sur comptes clients à acquitter</t>
  </si>
  <si>
    <t>Dotation aux amortissements</t>
  </si>
  <si>
    <t>Actif</t>
  </si>
  <si>
    <t>Agios</t>
  </si>
  <si>
    <t>Actif immobilisé net</t>
  </si>
  <si>
    <t>Intérêts sur emprunt</t>
  </si>
  <si>
    <t>Stock TEC</t>
  </si>
  <si>
    <t>Créances clients</t>
  </si>
  <si>
    <t>TVA sur comptes fournisseurs à récupérer</t>
  </si>
  <si>
    <t>Disponibilité en banque</t>
  </si>
  <si>
    <t>CA HT facturé au compte de produits</t>
  </si>
  <si>
    <t>Encaissement TTC</t>
  </si>
  <si>
    <t>Autres dettes (TVA à payer sur créances clients)</t>
  </si>
  <si>
    <t>Dettes fiscales (Impôts sur bénéfices)</t>
  </si>
  <si>
    <t>TVA à récupérer au mois i sur factures fournisseurs reçues au mois i-1</t>
  </si>
  <si>
    <t>TVA nette à payer dans le mois i</t>
  </si>
  <si>
    <t>TVA comptabilisée à payer sur CA HT facturé</t>
  </si>
  <si>
    <t>TVA restant à payer au 31/12/An et à porter au PASSIF du Bilan</t>
  </si>
  <si>
    <t>TVA restant à récupérer au 31/12/An et à porter à l'ACTIF du Bilan</t>
  </si>
  <si>
    <t xml:space="preserve">Cumul à fin de mois n de la TVA comptabilisée à payer </t>
  </si>
  <si>
    <t>Total Factures fournisseurs HT reçues dans le mois</t>
  </si>
  <si>
    <t>TVA payée au mois i sur encaissement du mois i-1</t>
  </si>
  <si>
    <t>CALCUL DE LA TVA ET BALANCE TVA POUR LE BILAN</t>
  </si>
  <si>
    <t>Cumul au mois n de la TVA à payer</t>
  </si>
  <si>
    <t>Cumul au mois n de la TVA à récupérer</t>
  </si>
  <si>
    <t>Encaissements d'exploitation TTC (B) à x j de facturation</t>
  </si>
  <si>
    <t>Délai de règlement des 3 factures clients à x jours</t>
  </si>
  <si>
    <t>Délai de paiement client</t>
  </si>
  <si>
    <t>Résultat BN2</t>
  </si>
  <si>
    <t>% Agios/BN2</t>
  </si>
  <si>
    <t>TVA à porter au PASSIF</t>
  </si>
  <si>
    <t>TVA à porter à l'ACTIF</t>
  </si>
  <si>
    <t>PRIME DIRECTEUR COMMERCIAL</t>
  </si>
  <si>
    <t>Salaire brut annuel</t>
  </si>
  <si>
    <t>Economie d'agios</t>
  </si>
  <si>
    <t>Total salaire brut</t>
  </si>
  <si>
    <t>Total salaire net : 80% du brut</t>
  </si>
  <si>
    <t>Δ salaire net</t>
  </si>
  <si>
    <t>R = 0,9 x Salaire net</t>
  </si>
  <si>
    <t>Calcul de l'IRPP</t>
  </si>
  <si>
    <t>N = nombre de parts</t>
  </si>
  <si>
    <t>QF = R/N</t>
  </si>
  <si>
    <t>Δ IRPP</t>
  </si>
  <si>
    <t>% ΔIRPP/Δ salaire net</t>
  </si>
  <si>
    <t>Revenu net supplémentaire</t>
  </si>
  <si>
    <t>Bareme fiscal 2008</t>
  </si>
  <si>
    <t>R x 0,055 - 312,79 x N</t>
  </si>
  <si>
    <t>R x 0,14 -1277,03 x N</t>
  </si>
  <si>
    <t>R x 0,3 - 5308,23 x N</t>
  </si>
  <si>
    <t>&gt;67546</t>
  </si>
  <si>
    <t xml:space="preserve"> R x 0,4 - 12062,83 x N</t>
  </si>
  <si>
    <t xml:space="preserve">IRPP à payer </t>
  </si>
  <si>
    <t>B</t>
  </si>
  <si>
    <t>C</t>
  </si>
  <si>
    <t>E</t>
  </si>
  <si>
    <t>G</t>
  </si>
  <si>
    <t>H</t>
  </si>
  <si>
    <t>I</t>
  </si>
  <si>
    <t>K</t>
  </si>
  <si>
    <t>L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</si>
  <si>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</si>
  <si>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</si>
  <si>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</si>
  <si>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</si>
  <si>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</si>
  <si>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</si>
  <si>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</si>
  <si>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</si>
  <si>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</si>
  <si>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</si>
  <si>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</si>
  <si>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</si>
  <si>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Différence A-B</t>
  </si>
  <si>
    <t>AC</t>
  </si>
  <si>
    <t>AD</t>
  </si>
  <si>
    <t>DIAGNOSTIC MEDIAFORM</t>
  </si>
  <si>
    <t xml:space="preserve">Code </t>
  </si>
  <si>
    <t>Signification</t>
  </si>
  <si>
    <t>Commentaires</t>
  </si>
  <si>
    <t>CA</t>
  </si>
  <si>
    <t>Chiffre d'affaires</t>
  </si>
  <si>
    <t>ST</t>
  </si>
  <si>
    <t>VA</t>
  </si>
  <si>
    <t>Valeur ajoutée</t>
  </si>
  <si>
    <t>VA = CA - Sous-traitance</t>
  </si>
  <si>
    <t>EFF</t>
  </si>
  <si>
    <t>Effectif fin année</t>
  </si>
  <si>
    <t>FP</t>
  </si>
  <si>
    <t>BN1</t>
  </si>
  <si>
    <t>Bénéfice après impôts</t>
  </si>
  <si>
    <t>EBE</t>
  </si>
  <si>
    <t>Excédent brut d'exploitation</t>
  </si>
  <si>
    <t>EBE = VA - Charges de personnel - Impôts et Taxes</t>
  </si>
  <si>
    <t>AMOR</t>
  </si>
  <si>
    <t>Amortissements</t>
  </si>
  <si>
    <t>ACH</t>
  </si>
  <si>
    <t>Achats externes hors ST</t>
  </si>
  <si>
    <t>Code ratio</t>
  </si>
  <si>
    <t>Ratio</t>
  </si>
  <si>
    <t>Moyenne % SSII</t>
  </si>
  <si>
    <t>ACT 2</t>
  </si>
  <si>
    <t>VA/CA</t>
  </si>
  <si>
    <t>Ratio &lt; 1, mesure le degré d'intégration verticale.  Plus le ratio est proche de 1, plus l'entreprise a intégré ses moyens de production et moins elle fait appel à la sous-traitance</t>
  </si>
  <si>
    <t>RENT ECO 2</t>
  </si>
  <si>
    <t>EBE/CA</t>
  </si>
  <si>
    <t>Taux de marge : aptitude de l'entreprise à fixer son prix de vente à un niveau plus ou moins élevé au dessus de son prix de revient. Permet d'apprécier la force ou la faiblesse de la position sur le marché de l'entreprise par rapport à celle de ses concurrents</t>
  </si>
  <si>
    <t>ACT 3</t>
  </si>
  <si>
    <t>VA/EFF</t>
  </si>
  <si>
    <t>C'est la valeur ajoutée par personne</t>
  </si>
  <si>
    <t>FP/CA</t>
  </si>
  <si>
    <t>C'est la part du CA consacrée à payer les salaires bruts</t>
  </si>
  <si>
    <t>ACT 4</t>
  </si>
  <si>
    <t>FP/VA</t>
  </si>
  <si>
    <t>Part des charges en personnel dans la VA. Plus le ratio est élevé, plus l'entreprise utilise beaucoup de main d'œuvre ou paye bien ses salariés à effectif comparable</t>
  </si>
  <si>
    <t>STRUC 6</t>
  </si>
  <si>
    <t>BN1/CA</t>
  </si>
  <si>
    <t>Capacité de l'entreprise à générer un bénéfice net à partir du CA HT</t>
  </si>
  <si>
    <t>AMOR/CA</t>
  </si>
  <si>
    <t>C'est la part du CA consacré à doter le compte d'amortissement.</t>
  </si>
  <si>
    <t>ACT 7</t>
  </si>
  <si>
    <t>AMOR/VA</t>
  </si>
  <si>
    <t>L'entreprise utilise-t-elle toutes les possibilités fiscales qui lui sont offertes ?</t>
  </si>
  <si>
    <t>ACH/CA</t>
  </si>
  <si>
    <t>C'est la part du CA consacrée aux achats</t>
  </si>
  <si>
    <t>Ainet</t>
  </si>
  <si>
    <t>CP</t>
  </si>
  <si>
    <t>Sécurité</t>
  </si>
  <si>
    <t>AI net/CP</t>
  </si>
  <si>
    <t>Croissance</t>
  </si>
  <si>
    <t>CA/AI net</t>
  </si>
  <si>
    <t>Profit</t>
  </si>
  <si>
    <t>Rentabilté économique</t>
  </si>
  <si>
    <t>Re = BN1/AI net</t>
  </si>
  <si>
    <t>Rentabilté financière</t>
  </si>
  <si>
    <t>Rf = BNI/CP</t>
  </si>
  <si>
    <t>Ratios de performance</t>
  </si>
  <si>
    <t>Bénéfice net après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</si>
</sst>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0.0000"/>
    <numFmt numFmtId="165" formatCode="#,##0.00_ ;\-#,##0.00\ "/>
  </numFmts>
  <fonts count="2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sz val="8"/>
      <color rgb="FFFF0000"/>
      <name val="Arial"/>
      <family val="2"/>
    </font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9" fillId="0" borderId="0" xfId="0" applyNumberFormat="1" applyFont="1"/>
    <xf numFmtId="2" fontId="0" fillId="0" borderId="0" xfId="0" applyNumberFormat="1" applyFill="1"/>
    <xf numFmtId="2" fontId="1" fillId="0" borderId="0" xfId="0" applyNumberFormat="1" applyFont="1"/>
    <xf numFmtId="2" fontId="3" fillId="0" borderId="0" xfId="0" applyNumberFormat="1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2" fontId="5" fillId="0" borderId="1" xfId="0" applyNumberFormat="1" applyFont="1" applyBorder="1"/>
    <xf numFmtId="2" fontId="5" fillId="0" borderId="0" xfId="0" applyNumberFormat="1" applyFont="1"/>
    <xf numFmtId="0" fontId="9" fillId="0" borderId="0" xfId="0" applyFont="1"/>
    <xf numFmtId="8" fontId="0" fillId="0" borderId="0" xfId="0" applyNumberFormat="1"/>
    <xf numFmtId="0" fontId="11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7" fillId="0" borderId="0" xfId="0" applyFont="1"/>
    <xf numFmtId="9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Border="1"/>
    <xf numFmtId="0" fontId="9" fillId="0" borderId="2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2" xfId="0" applyFont="1" applyBorder="1"/>
    <xf numFmtId="0" fontId="1" fillId="0" borderId="0" xfId="0" applyFont="1" applyAlignment="1"/>
    <xf numFmtId="4" fontId="4" fillId="0" borderId="0" xfId="0" applyNumberFormat="1" applyFont="1"/>
    <xf numFmtId="4" fontId="5" fillId="0" borderId="0" xfId="0" applyNumberFormat="1" applyFont="1"/>
    <xf numFmtId="0" fontId="5" fillId="0" borderId="4" xfId="0" applyFont="1" applyBorder="1"/>
    <xf numFmtId="1" fontId="12" fillId="0" borderId="3" xfId="0" applyNumberFormat="1" applyFont="1" applyBorder="1" applyAlignment="1">
      <alignment horizontal="center"/>
    </xf>
    <xf numFmtId="2" fontId="9" fillId="0" borderId="0" xfId="0" applyNumberFormat="1" applyFont="1" applyBorder="1"/>
    <xf numFmtId="2" fontId="5" fillId="0" borderId="0" xfId="0" applyNumberFormat="1" applyFont="1" applyBorder="1"/>
    <xf numFmtId="1" fontId="9" fillId="0" borderId="3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/>
    <xf numFmtId="2" fontId="4" fillId="0" borderId="0" xfId="0" applyNumberFormat="1" applyFont="1" applyBorder="1"/>
    <xf numFmtId="4" fontId="5" fillId="0" borderId="0" xfId="0" applyNumberFormat="1" applyFont="1" applyBorder="1"/>
    <xf numFmtId="10" fontId="5" fillId="0" borderId="0" xfId="0" applyNumberFormat="1" applyFont="1" applyBorder="1"/>
    <xf numFmtId="10" fontId="5" fillId="0" borderId="0" xfId="0" applyNumberFormat="1" applyFont="1"/>
    <xf numFmtId="0" fontId="5" fillId="0" borderId="0" xfId="0" applyFont="1" applyBorder="1" applyAlignment="1">
      <alignment horizontal="center"/>
    </xf>
    <xf numFmtId="164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4" fillId="0" borderId="0" xfId="0" applyFont="1" applyBorder="1"/>
    <xf numFmtId="4" fontId="13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9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5" fillId="0" borderId="4" xfId="0" applyFont="1" applyFill="1" applyBorder="1"/>
    <xf numFmtId="4" fontId="9" fillId="0" borderId="0" xfId="0" applyNumberFormat="1" applyFont="1"/>
    <xf numFmtId="0" fontId="5" fillId="0" borderId="0" xfId="0" applyFont="1" applyFill="1" applyBorder="1"/>
    <xf numFmtId="2" fontId="9" fillId="0" borderId="2" xfId="0" applyNumberFormat="1" applyFont="1" applyBorder="1"/>
    <xf numFmtId="2" fontId="4" fillId="0" borderId="2" xfId="0" applyNumberFormat="1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2" fontId="9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/>
    <xf numFmtId="2" fontId="5" fillId="0" borderId="3" xfId="0" applyNumberFormat="1" applyFont="1" applyBorder="1"/>
    <xf numFmtId="2" fontId="5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0" xfId="0" applyFont="1" applyFill="1" applyBorder="1"/>
    <xf numFmtId="1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0" fillId="0" borderId="12" xfId="0" applyBorder="1"/>
    <xf numFmtId="4" fontId="9" fillId="0" borderId="2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14" fillId="0" borderId="12" xfId="0" applyFont="1" applyFill="1" applyBorder="1"/>
    <xf numFmtId="0" fontId="0" fillId="0" borderId="7" xfId="0" applyBorder="1"/>
    <xf numFmtId="0" fontId="3" fillId="0" borderId="8" xfId="0" applyFont="1" applyBorder="1"/>
    <xf numFmtId="0" fontId="0" fillId="0" borderId="8" xfId="0" applyBorder="1"/>
    <xf numFmtId="2" fontId="14" fillId="0" borderId="9" xfId="0" applyNumberFormat="1" applyFont="1" applyBorder="1"/>
    <xf numFmtId="2" fontId="5" fillId="0" borderId="10" xfId="0" applyNumberFormat="1" applyFont="1" applyBorder="1"/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/>
    <xf numFmtId="2" fontId="9" fillId="0" borderId="3" xfId="0" applyNumberFormat="1" applyFont="1" applyBorder="1"/>
    <xf numFmtId="0" fontId="0" fillId="0" borderId="4" xfId="0" applyBorder="1"/>
    <xf numFmtId="0" fontId="5" fillId="0" borderId="8" xfId="0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5" fillId="0" borderId="6" xfId="0" applyFont="1" applyBorder="1"/>
    <xf numFmtId="4" fontId="12" fillId="0" borderId="2" xfId="0" applyNumberFormat="1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2" fontId="12" fillId="0" borderId="4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0" borderId="15" xfId="0" applyBorder="1"/>
    <xf numFmtId="0" fontId="0" fillId="0" borderId="17" xfId="0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5" fillId="0" borderId="14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14" xfId="0" applyNumberFormat="1" applyFont="1" applyBorder="1" applyAlignment="1">
      <alignment vertical="center" wrapText="1"/>
    </xf>
    <xf numFmtId="4" fontId="4" fillId="0" borderId="14" xfId="0" applyNumberFormat="1" applyFont="1" applyBorder="1"/>
    <xf numFmtId="4" fontId="9" fillId="0" borderId="14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5" fillId="0" borderId="15" xfId="0" applyFont="1" applyBorder="1"/>
    <xf numFmtId="0" fontId="9" fillId="0" borderId="16" xfId="0" applyFont="1" applyBorder="1"/>
    <xf numFmtId="0" fontId="5" fillId="0" borderId="16" xfId="0" applyFont="1" applyBorder="1" applyAlignment="1">
      <alignment horizontal="center"/>
    </xf>
    <xf numFmtId="0" fontId="0" fillId="0" borderId="16" xfId="0" applyBorder="1"/>
    <xf numFmtId="4" fontId="5" fillId="0" borderId="16" xfId="0" applyNumberFormat="1" applyFont="1" applyBorder="1"/>
    <xf numFmtId="0" fontId="11" fillId="0" borderId="15" xfId="0" applyFont="1" applyBorder="1"/>
    <xf numFmtId="0" fontId="9" fillId="0" borderId="15" xfId="0" applyFont="1" applyBorder="1"/>
    <xf numFmtId="4" fontId="4" fillId="0" borderId="16" xfId="0" applyNumberFormat="1" applyFont="1" applyBorder="1"/>
    <xf numFmtId="4" fontId="4" fillId="0" borderId="16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horizontal="right"/>
    </xf>
    <xf numFmtId="0" fontId="5" fillId="0" borderId="17" xfId="0" applyFont="1" applyBorder="1"/>
    <xf numFmtId="4" fontId="5" fillId="0" borderId="18" xfId="0" applyNumberFormat="1" applyFont="1" applyBorder="1"/>
    <xf numFmtId="4" fontId="5" fillId="0" borderId="19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4" fillId="0" borderId="0" xfId="0" applyNumberFormat="1" applyFont="1" applyBorder="1"/>
    <xf numFmtId="0" fontId="9" fillId="0" borderId="14" xfId="0" applyFont="1" applyBorder="1"/>
    <xf numFmtId="2" fontId="5" fillId="0" borderId="14" xfId="0" applyNumberFormat="1" applyFont="1" applyBorder="1"/>
    <xf numFmtId="0" fontId="1" fillId="0" borderId="15" xfId="0" applyFont="1" applyBorder="1" applyAlignment="1"/>
    <xf numFmtId="0" fontId="15" fillId="0" borderId="16" xfId="0" applyFont="1" applyBorder="1" applyAlignment="1">
      <alignment horizontal="center" vertical="center" wrapText="1"/>
    </xf>
    <xf numFmtId="0" fontId="4" fillId="0" borderId="15" xfId="0" applyFont="1" applyBorder="1"/>
    <xf numFmtId="4" fontId="9" fillId="0" borderId="16" xfId="0" applyNumberFormat="1" applyFont="1" applyBorder="1"/>
    <xf numFmtId="0" fontId="4" fillId="0" borderId="15" xfId="0" applyFont="1" applyBorder="1" applyAlignment="1">
      <alignment horizontal="right"/>
    </xf>
    <xf numFmtId="10" fontId="9" fillId="0" borderId="16" xfId="0" applyNumberFormat="1" applyFont="1" applyBorder="1"/>
    <xf numFmtId="10" fontId="4" fillId="0" borderId="16" xfId="0" applyNumberFormat="1" applyFont="1" applyBorder="1"/>
    <xf numFmtId="10" fontId="5" fillId="0" borderId="16" xfId="0" applyNumberFormat="1" applyFont="1" applyBorder="1"/>
    <xf numFmtId="0" fontId="5" fillId="0" borderId="17" xfId="0" applyNumberFormat="1" applyFont="1" applyBorder="1"/>
    <xf numFmtId="10" fontId="5" fillId="0" borderId="19" xfId="0" applyNumberFormat="1" applyFont="1" applyBorder="1"/>
    <xf numFmtId="0" fontId="15" fillId="0" borderId="14" xfId="0" applyFont="1" applyBorder="1" applyAlignment="1">
      <alignment horizontal="center" vertical="center" wrapText="1"/>
    </xf>
    <xf numFmtId="4" fontId="9" fillId="0" borderId="14" xfId="0" applyNumberFormat="1" applyFont="1" applyBorder="1"/>
    <xf numFmtId="10" fontId="9" fillId="0" borderId="14" xfId="0" applyNumberFormat="1" applyFont="1" applyBorder="1"/>
    <xf numFmtId="10" fontId="4" fillId="0" borderId="14" xfId="0" applyNumberFormat="1" applyFont="1" applyBorder="1"/>
    <xf numFmtId="10" fontId="5" fillId="0" borderId="14" xfId="0" applyNumberFormat="1" applyFont="1" applyBorder="1"/>
    <xf numFmtId="10" fontId="5" fillId="0" borderId="18" xfId="0" applyNumberFormat="1" applyFont="1" applyBorder="1"/>
    <xf numFmtId="0" fontId="5" fillId="0" borderId="16" xfId="0" applyFont="1" applyBorder="1"/>
    <xf numFmtId="2" fontId="4" fillId="0" borderId="16" xfId="0" applyNumberFormat="1" applyFont="1" applyBorder="1"/>
    <xf numFmtId="0" fontId="5" fillId="0" borderId="14" xfId="0" applyFont="1" applyBorder="1" applyAlignment="1">
      <alignment horizontal="center" vertical="center" wrapText="1"/>
    </xf>
    <xf numFmtId="2" fontId="9" fillId="0" borderId="14" xfId="0" applyNumberFormat="1" applyFont="1" applyBorder="1"/>
    <xf numFmtId="0" fontId="0" fillId="0" borderId="20" xfId="0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2" fontId="9" fillId="0" borderId="16" xfId="0" applyNumberFormat="1" applyFont="1" applyBorder="1"/>
    <xf numFmtId="0" fontId="5" fillId="0" borderId="15" xfId="0" applyFont="1" applyBorder="1" applyAlignment="1">
      <alignment horizontal="right"/>
    </xf>
    <xf numFmtId="2" fontId="5" fillId="0" borderId="16" xfId="0" applyNumberFormat="1" applyFont="1" applyBorder="1"/>
    <xf numFmtId="0" fontId="0" fillId="0" borderId="18" xfId="0" applyBorder="1"/>
    <xf numFmtId="2" fontId="5" fillId="0" borderId="18" xfId="0" applyNumberFormat="1" applyFont="1" applyBorder="1"/>
    <xf numFmtId="2" fontId="5" fillId="0" borderId="19" xfId="0" applyNumberFormat="1" applyFont="1" applyBorder="1"/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/>
    <xf numFmtId="4" fontId="1" fillId="0" borderId="14" xfId="0" applyNumberFormat="1" applyFont="1" applyBorder="1"/>
    <xf numFmtId="4" fontId="0" fillId="0" borderId="14" xfId="0" applyNumberFormat="1" applyBorder="1"/>
    <xf numFmtId="0" fontId="0" fillId="2" borderId="14" xfId="0" applyFill="1" applyBorder="1"/>
    <xf numFmtId="0" fontId="0" fillId="0" borderId="14" xfId="0" applyBorder="1" applyAlignment="1">
      <alignment horizontal="right"/>
    </xf>
    <xf numFmtId="4" fontId="3" fillId="0" borderId="14" xfId="0" applyNumberFormat="1" applyFont="1" applyBorder="1"/>
    <xf numFmtId="0" fontId="0" fillId="0" borderId="14" xfId="0" applyBorder="1" applyAlignment="1">
      <alignment vertical="center" wrapText="1"/>
    </xf>
    <xf numFmtId="0" fontId="1" fillId="2" borderId="14" xfId="0" applyFont="1" applyFill="1" applyBorder="1"/>
    <xf numFmtId="0" fontId="3" fillId="2" borderId="14" xfId="0" applyFont="1" applyFill="1" applyBorder="1"/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/>
    <xf numFmtId="4" fontId="1" fillId="0" borderId="16" xfId="0" applyNumberFormat="1" applyFont="1" applyBorder="1"/>
    <xf numFmtId="0" fontId="1" fillId="0" borderId="18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2" fontId="0" fillId="0" borderId="14" xfId="0" applyNumberFormat="1" applyBorder="1"/>
    <xf numFmtId="2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4" fontId="3" fillId="0" borderId="16" xfId="0" applyNumberFormat="1" applyFont="1" applyBorder="1"/>
    <xf numFmtId="0" fontId="0" fillId="0" borderId="15" xfId="0" applyFill="1" applyBorder="1"/>
    <xf numFmtId="0" fontId="0" fillId="2" borderId="15" xfId="0" applyFill="1" applyBorder="1"/>
    <xf numFmtId="0" fontId="1" fillId="2" borderId="15" xfId="0" applyFont="1" applyFill="1" applyBorder="1"/>
    <xf numFmtId="0" fontId="1" fillId="0" borderId="16" xfId="0" applyFont="1" applyBorder="1"/>
    <xf numFmtId="2" fontId="1" fillId="0" borderId="16" xfId="0" applyNumberFormat="1" applyFont="1" applyBorder="1"/>
    <xf numFmtId="0" fontId="3" fillId="2" borderId="15" xfId="0" applyFont="1" applyFill="1" applyBorder="1"/>
    <xf numFmtId="0" fontId="1" fillId="0" borderId="17" xfId="0" applyFont="1" applyBorder="1"/>
    <xf numFmtId="4" fontId="0" fillId="0" borderId="18" xfId="0" applyNumberForma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/>
    <xf numFmtId="2" fontId="0" fillId="3" borderId="14" xfId="0" applyNumberFormat="1" applyFill="1" applyBorder="1" applyAlignment="1">
      <alignment horizontal="right"/>
    </xf>
    <xf numFmtId="2" fontId="0" fillId="3" borderId="16" xfId="0" applyNumberFormat="1" applyFill="1" applyBorder="1"/>
    <xf numFmtId="2" fontId="0" fillId="0" borderId="14" xfId="0" applyNumberFormat="1" applyBorder="1" applyAlignment="1">
      <alignment horizontal="right"/>
    </xf>
    <xf numFmtId="2" fontId="0" fillId="0" borderId="14" xfId="0" applyNumberFormat="1" applyFill="1" applyBorder="1"/>
    <xf numFmtId="2" fontId="0" fillId="0" borderId="16" xfId="0" applyNumberFormat="1" applyFill="1" applyBorder="1"/>
    <xf numFmtId="0" fontId="0" fillId="0" borderId="19" xfId="0" applyBorder="1"/>
    <xf numFmtId="2" fontId="1" fillId="0" borderId="18" xfId="0" applyNumberFormat="1" applyFont="1" applyBorder="1"/>
    <xf numFmtId="2" fontId="1" fillId="0" borderId="19" xfId="0" applyNumberFormat="1" applyFont="1" applyBorder="1"/>
    <xf numFmtId="2" fontId="0" fillId="3" borderId="14" xfId="0" applyNumberFormat="1" applyFill="1" applyBorder="1"/>
    <xf numFmtId="0" fontId="3" fillId="0" borderId="0" xfId="0" applyFont="1"/>
    <xf numFmtId="4" fontId="9" fillId="0" borderId="14" xfId="0" applyNumberFormat="1" applyFont="1" applyBorder="1" applyAlignment="1">
      <alignment horizontal="center"/>
    </xf>
    <xf numFmtId="4" fontId="0" fillId="0" borderId="1" xfId="0" applyNumberFormat="1" applyBorder="1"/>
    <xf numFmtId="4" fontId="4" fillId="0" borderId="14" xfId="0" applyNumberFormat="1" applyFont="1" applyBorder="1" applyAlignment="1">
      <alignment horizontal="center"/>
    </xf>
    <xf numFmtId="0" fontId="1" fillId="0" borderId="20" xfId="0" applyFont="1" applyBorder="1"/>
    <xf numFmtId="4" fontId="4" fillId="0" borderId="16" xfId="0" applyNumberFormat="1" applyFont="1" applyBorder="1" applyAlignment="1">
      <alignment horizontal="center"/>
    </xf>
    <xf numFmtId="0" fontId="4" fillId="0" borderId="15" xfId="0" applyFont="1" applyFill="1" applyBorder="1"/>
    <xf numFmtId="4" fontId="9" fillId="0" borderId="16" xfId="0" applyNumberFormat="1" applyFont="1" applyBorder="1" applyAlignment="1">
      <alignment horizontal="center"/>
    </xf>
    <xf numFmtId="4" fontId="5" fillId="0" borderId="19" xfId="0" applyNumberFormat="1" applyFont="1" applyBorder="1"/>
    <xf numFmtId="4" fontId="4" fillId="0" borderId="21" xfId="0" applyNumberFormat="1" applyFont="1" applyBorder="1" applyAlignment="1">
      <alignment horizontal="center"/>
    </xf>
    <xf numFmtId="4" fontId="0" fillId="0" borderId="32" xfId="0" applyNumberFormat="1" applyBorder="1"/>
    <xf numFmtId="4" fontId="0" fillId="0" borderId="33" xfId="0" applyNumberFormat="1" applyBorder="1"/>
    <xf numFmtId="4" fontId="0" fillId="0" borderId="29" xfId="0" applyNumberFormat="1" applyBorder="1"/>
    <xf numFmtId="4" fontId="4" fillId="0" borderId="34" xfId="0" applyNumberFormat="1" applyFont="1" applyBorder="1"/>
    <xf numFmtId="4" fontId="5" fillId="4" borderId="31" xfId="0" applyNumberFormat="1" applyFont="1" applyFill="1" applyBorder="1"/>
    <xf numFmtId="4" fontId="5" fillId="4" borderId="14" xfId="0" applyNumberFormat="1" applyFont="1" applyFill="1" applyBorder="1"/>
    <xf numFmtId="0" fontId="5" fillId="4" borderId="15" xfId="0" applyFont="1" applyFill="1" applyBorder="1"/>
    <xf numFmtId="0" fontId="5" fillId="0" borderId="15" xfId="0" applyFont="1" applyFill="1" applyBorder="1"/>
    <xf numFmtId="4" fontId="5" fillId="0" borderId="0" xfId="0" applyNumberFormat="1" applyFont="1" applyFill="1" applyBorder="1"/>
    <xf numFmtId="0" fontId="5" fillId="0" borderId="20" xfId="0" applyFont="1" applyBorder="1"/>
    <xf numFmtId="0" fontId="4" fillId="0" borderId="22" xfId="0" applyFont="1" applyBorder="1"/>
    <xf numFmtId="49" fontId="4" fillId="0" borderId="15" xfId="0" applyNumberFormat="1" applyFont="1" applyBorder="1" applyAlignment="1">
      <alignment horizontal="right"/>
    </xf>
    <xf numFmtId="4" fontId="13" fillId="0" borderId="16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" fontId="5" fillId="3" borderId="19" xfId="0" applyNumberFormat="1" applyFont="1" applyFill="1" applyBorder="1"/>
    <xf numFmtId="0" fontId="4" fillId="0" borderId="16" xfId="0" applyFont="1" applyBorder="1"/>
    <xf numFmtId="4" fontId="5" fillId="0" borderId="16" xfId="0" applyNumberFormat="1" applyFont="1" applyFill="1" applyBorder="1"/>
    <xf numFmtId="0" fontId="7" fillId="0" borderId="15" xfId="0" applyFont="1" applyBorder="1"/>
    <xf numFmtId="10" fontId="7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left"/>
    </xf>
    <xf numFmtId="10" fontId="4" fillId="0" borderId="16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5" fillId="0" borderId="17" xfId="0" applyFont="1" applyFill="1" applyBorder="1"/>
    <xf numFmtId="4" fontId="5" fillId="0" borderId="19" xfId="0" applyNumberFormat="1" applyFont="1" applyBorder="1" applyAlignment="1">
      <alignment horizontal="center"/>
    </xf>
    <xf numFmtId="0" fontId="5" fillId="0" borderId="35" xfId="0" applyFont="1" applyBorder="1"/>
    <xf numFmtId="4" fontId="5" fillId="0" borderId="36" xfId="0" applyNumberFormat="1" applyFont="1" applyBorder="1" applyAlignment="1">
      <alignment horizontal="center"/>
    </xf>
    <xf numFmtId="0" fontId="7" fillId="0" borderId="20" xfId="0" applyFont="1" applyBorder="1"/>
    <xf numFmtId="4" fontId="7" fillId="0" borderId="2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0" fontId="5" fillId="0" borderId="14" xfId="0" applyFont="1" applyBorder="1"/>
    <xf numFmtId="1" fontId="5" fillId="0" borderId="14" xfId="0" applyNumberFormat="1" applyFont="1" applyBorder="1"/>
    <xf numFmtId="0" fontId="4" fillId="0" borderId="14" xfId="0" applyFont="1" applyBorder="1" applyAlignment="1">
      <alignment horizontal="left"/>
    </xf>
    <xf numFmtId="1" fontId="4" fillId="0" borderId="14" xfId="0" applyNumberFormat="1" applyFont="1" applyBorder="1"/>
    <xf numFmtId="1" fontId="7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/>
    </xf>
    <xf numFmtId="2" fontId="4" fillId="0" borderId="14" xfId="0" applyNumberFormat="1" applyFont="1" applyBorder="1"/>
    <xf numFmtId="0" fontId="5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9" fontId="7" fillId="0" borderId="1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1" fillId="0" borderId="14" xfId="0" applyFont="1" applyBorder="1"/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7" fillId="0" borderId="14" xfId="0" applyFont="1" applyBorder="1"/>
    <xf numFmtId="4" fontId="6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0" fillId="0" borderId="33" xfId="0" applyBorder="1"/>
    <xf numFmtId="0" fontId="12" fillId="0" borderId="16" xfId="0" applyFont="1" applyBorder="1" applyAlignment="1">
      <alignment horizontal="center"/>
    </xf>
    <xf numFmtId="0" fontId="9" fillId="0" borderId="33" xfId="0" applyFont="1" applyBorder="1"/>
    <xf numFmtId="4" fontId="5" fillId="0" borderId="14" xfId="0" applyNumberFormat="1" applyFont="1" applyFill="1" applyBorder="1"/>
    <xf numFmtId="1" fontId="16" fillId="0" borderId="14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4" fontId="0" fillId="0" borderId="14" xfId="1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5" xfId="0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4" fontId="0" fillId="0" borderId="18" xfId="1" applyNumberFormat="1" applyFont="1" applyBorder="1" applyAlignment="1">
      <alignment horizontal="center"/>
    </xf>
    <xf numFmtId="10" fontId="0" fillId="0" borderId="19" xfId="2" applyNumberFormat="1" applyFont="1" applyBorder="1" applyAlignment="1">
      <alignment horizontal="center"/>
    </xf>
    <xf numFmtId="43" fontId="0" fillId="0" borderId="14" xfId="1" applyFont="1" applyBorder="1"/>
    <xf numFmtId="10" fontId="0" fillId="0" borderId="14" xfId="2" applyNumberFormat="1" applyFont="1" applyBorder="1"/>
    <xf numFmtId="0" fontId="3" fillId="0" borderId="16" xfId="0" applyFont="1" applyBorder="1"/>
    <xf numFmtId="10" fontId="0" fillId="0" borderId="18" xfId="2" applyNumberFormat="1" applyFont="1" applyBorder="1"/>
    <xf numFmtId="0" fontId="3" fillId="0" borderId="19" xfId="0" applyFont="1" applyBorder="1"/>
    <xf numFmtId="4" fontId="0" fillId="0" borderId="14" xfId="0" applyNumberFormat="1" applyBorder="1" applyAlignment="1">
      <alignment horizontal="center"/>
    </xf>
    <xf numFmtId="43" fontId="0" fillId="0" borderId="33" xfId="1" applyFont="1" applyBorder="1"/>
    <xf numFmtId="43" fontId="3" fillId="0" borderId="33" xfId="1" applyFont="1" applyBorder="1"/>
    <xf numFmtId="43" fontId="19" fillId="0" borderId="33" xfId="1" applyFont="1" applyBorder="1"/>
    <xf numFmtId="2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3" fillId="0" borderId="15" xfId="0" applyFont="1" applyBorder="1"/>
    <xf numFmtId="2" fontId="0" fillId="0" borderId="16" xfId="0" applyNumberFormat="1" applyBorder="1" applyAlignment="1">
      <alignment horizontal="center"/>
    </xf>
    <xf numFmtId="0" fontId="5" fillId="0" borderId="33" xfId="0" applyFont="1" applyBorder="1"/>
    <xf numFmtId="0" fontId="5" fillId="0" borderId="33" xfId="0" applyFont="1" applyFill="1" applyBorder="1" applyAlignment="1">
      <alignment horizontal="left"/>
    </xf>
    <xf numFmtId="0" fontId="11" fillId="0" borderId="33" xfId="0" applyFont="1" applyBorder="1"/>
    <xf numFmtId="0" fontId="11" fillId="0" borderId="33" xfId="0" applyFont="1" applyBorder="1" applyAlignment="1">
      <alignment vertical="center" wrapText="1"/>
    </xf>
    <xf numFmtId="0" fontId="9" fillId="0" borderId="33" xfId="0" applyFont="1" applyBorder="1" applyAlignment="1">
      <alignment vertical="center"/>
    </xf>
    <xf numFmtId="0" fontId="5" fillId="0" borderId="37" xfId="0" applyFont="1" applyBorder="1"/>
    <xf numFmtId="0" fontId="9" fillId="0" borderId="14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12" fillId="0" borderId="14" xfId="0" applyFont="1" applyBorder="1"/>
    <xf numFmtId="9" fontId="9" fillId="0" borderId="14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/>
    </xf>
    <xf numFmtId="9" fontId="12" fillId="0" borderId="16" xfId="0" applyNumberFormat="1" applyFont="1" applyBorder="1" applyAlignment="1">
      <alignment horizontal="center"/>
    </xf>
    <xf numFmtId="0" fontId="12" fillId="0" borderId="16" xfId="0" applyFont="1" applyBorder="1"/>
    <xf numFmtId="9" fontId="9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10" fillId="0" borderId="16" xfId="0" applyFont="1" applyBorder="1"/>
    <xf numFmtId="2" fontId="12" fillId="0" borderId="1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2" fontId="0" fillId="0" borderId="15" xfId="0" applyNumberFormat="1" applyBorder="1"/>
    <xf numFmtId="2" fontId="0" fillId="0" borderId="15" xfId="0" applyNumberFormat="1" applyBorder="1" applyAlignment="1">
      <alignment horizontal="left"/>
    </xf>
    <xf numFmtId="2" fontId="1" fillId="0" borderId="15" xfId="0" applyNumberFormat="1" applyFont="1" applyBorder="1"/>
    <xf numFmtId="2" fontId="1" fillId="0" borderId="17" xfId="0" applyNumberFormat="1" applyFont="1" applyBorder="1"/>
    <xf numFmtId="0" fontId="3" fillId="0" borderId="0" xfId="0" applyFont="1" applyFill="1" applyBorder="1"/>
    <xf numFmtId="4" fontId="5" fillId="0" borderId="2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0" fontId="4" fillId="0" borderId="9" xfId="0" applyFont="1" applyBorder="1"/>
    <xf numFmtId="0" fontId="4" fillId="0" borderId="44" xfId="0" applyFont="1" applyBorder="1" applyAlignment="1">
      <alignment horizontal="center" vertical="center" wrapText="1"/>
    </xf>
    <xf numFmtId="0" fontId="0" fillId="0" borderId="44" xfId="0" applyBorder="1"/>
    <xf numFmtId="4" fontId="9" fillId="0" borderId="44" xfId="0" applyNumberFormat="1" applyFont="1" applyBorder="1" applyAlignment="1">
      <alignment horizontal="center"/>
    </xf>
    <xf numFmtId="4" fontId="9" fillId="0" borderId="44" xfId="0" applyNumberFormat="1" applyFont="1" applyFill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2" fontId="5" fillId="0" borderId="12" xfId="0" applyNumberFormat="1" applyFont="1" applyBorder="1"/>
    <xf numFmtId="2" fontId="4" fillId="0" borderId="7" xfId="0" applyNumberFormat="1" applyFont="1" applyBorder="1"/>
    <xf numFmtId="0" fontId="9" fillId="0" borderId="11" xfId="0" applyFont="1" applyBorder="1" applyAlignment="1">
      <alignment horizontal="center"/>
    </xf>
    <xf numFmtId="2" fontId="4" fillId="0" borderId="4" xfId="0" applyNumberFormat="1" applyFont="1" applyBorder="1"/>
    <xf numFmtId="2" fontId="4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46" xfId="0" applyNumberFormat="1" applyFont="1" applyBorder="1"/>
    <xf numFmtId="2" fontId="5" fillId="0" borderId="45" xfId="0" applyNumberFormat="1" applyFont="1" applyBorder="1"/>
    <xf numFmtId="2" fontId="4" fillId="0" borderId="45" xfId="0" applyNumberFormat="1" applyFont="1" applyBorder="1"/>
    <xf numFmtId="2" fontId="5" fillId="0" borderId="45" xfId="0" applyNumberFormat="1" applyFont="1" applyBorder="1" applyAlignment="1">
      <alignment horizontal="center"/>
    </xf>
    <xf numFmtId="0" fontId="4" fillId="0" borderId="48" xfId="0" applyFont="1" applyBorder="1"/>
    <xf numFmtId="2" fontId="4" fillId="0" borderId="48" xfId="0" applyNumberFormat="1" applyFont="1" applyBorder="1"/>
    <xf numFmtId="1" fontId="7" fillId="0" borderId="48" xfId="0" applyNumberFormat="1" applyFont="1" applyBorder="1" applyAlignment="1">
      <alignment horizontal="center"/>
    </xf>
    <xf numFmtId="1" fontId="4" fillId="0" borderId="48" xfId="0" applyNumberFormat="1" applyFont="1" applyBorder="1" applyAlignment="1">
      <alignment horizontal="center"/>
    </xf>
    <xf numFmtId="2" fontId="4" fillId="0" borderId="49" xfId="0" applyNumberFormat="1" applyFont="1" applyBorder="1"/>
    <xf numFmtId="2" fontId="4" fillId="0" borderId="47" xfId="0" applyNumberFormat="1" applyFont="1" applyBorder="1"/>
    <xf numFmtId="2" fontId="5" fillId="0" borderId="47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46" xfId="0" applyFont="1" applyBorder="1"/>
    <xf numFmtId="3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2" xfId="0" applyFont="1" applyBorder="1" applyAlignment="1"/>
    <xf numFmtId="0" fontId="4" fillId="0" borderId="16" xfId="0" applyFont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9" xfId="0" applyFont="1" applyBorder="1"/>
    <xf numFmtId="0" fontId="4" fillId="0" borderId="33" xfId="0" applyFont="1" applyBorder="1"/>
    <xf numFmtId="0" fontId="4" fillId="0" borderId="40" xfId="0" applyFont="1" applyBorder="1"/>
    <xf numFmtId="0" fontId="4" fillId="0" borderId="3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7" fillId="0" borderId="40" xfId="0" applyFont="1" applyBorder="1"/>
    <xf numFmtId="0" fontId="7" fillId="0" borderId="3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41" xfId="0" applyFont="1" applyBorder="1"/>
    <xf numFmtId="0" fontId="4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" fontId="4" fillId="0" borderId="0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9" fontId="12" fillId="0" borderId="14" xfId="0" applyNumberFormat="1" applyFont="1" applyBorder="1" applyAlignment="1">
      <alignment horizontal="center"/>
    </xf>
    <xf numFmtId="9" fontId="12" fillId="0" borderId="16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10" fontId="12" fillId="0" borderId="16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" fontId="16" fillId="0" borderId="1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3" fontId="3" fillId="0" borderId="37" xfId="1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14" fontId="18" fillId="0" borderId="42" xfId="0" applyNumberFormat="1" applyFont="1" applyBorder="1" applyAlignment="1">
      <alignment horizontal="center"/>
    </xf>
    <xf numFmtId="14" fontId="18" fillId="0" borderId="43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0" fillId="0" borderId="53" xfId="0" applyBorder="1"/>
    <xf numFmtId="4" fontId="0" fillId="0" borderId="54" xfId="0" applyNumberFormat="1" applyBorder="1"/>
    <xf numFmtId="10" fontId="0" fillId="0" borderId="54" xfId="0" applyNumberFormat="1" applyBorder="1"/>
    <xf numFmtId="2" fontId="0" fillId="0" borderId="54" xfId="0" applyNumberFormat="1" applyBorder="1"/>
    <xf numFmtId="0" fontId="0" fillId="0" borderId="53" xfId="0" applyBorder="1" applyAlignment="1">
      <alignment wrapText="1"/>
    </xf>
    <xf numFmtId="2" fontId="0" fillId="0" borderId="54" xfId="0" applyNumberFormat="1" applyBorder="1" applyAlignment="1">
      <alignment horizontal="center" vertical="center"/>
    </xf>
    <xf numFmtId="0" fontId="0" fillId="0" borderId="55" xfId="0" applyBorder="1" applyAlignment="1">
      <alignment wrapText="1"/>
    </xf>
    <xf numFmtId="0" fontId="0" fillId="0" borderId="56" xfId="0" applyBorder="1" applyAlignment="1">
      <alignment horizontal="center" vertical="center"/>
    </xf>
    <xf numFmtId="0" fontId="0" fillId="0" borderId="56" xfId="0" applyBorder="1"/>
    <xf numFmtId="10" fontId="0" fillId="0" borderId="57" xfId="0" applyNumberFormat="1" applyBorder="1" applyAlignment="1">
      <alignment horizont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4" fontId="0" fillId="0" borderId="0" xfId="0" applyNumberFormat="1" applyBorder="1"/>
    <xf numFmtId="10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</cellXfs>
  <cellStyles count="1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Résultat d'exploitation = f(PV)</a:t>
            </a:r>
          </a:p>
        </c:rich>
      </c:tx>
      <c:layout>
        <c:manualLayout>
          <c:xMode val="edge"/>
          <c:yMode val="edge"/>
          <c:x val="0.258278145695364"/>
          <c:y val="0.04469273743016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98013245033"/>
          <c:y val="0.46927374301676"/>
          <c:w val="0.69867549668875"/>
          <c:h val="0.4189944134078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'Tableau simu'!$F$23:$F$31</c:f>
              <c:numCache>
                <c:formatCode>0.00</c:formatCode>
                <c:ptCount val="9"/>
                <c:pt idx="0" formatCode="#,##0.00">
                  <c:v>80000.0</c:v>
                </c:pt>
                <c:pt idx="1">
                  <c:v>82500.0</c:v>
                </c:pt>
                <c:pt idx="2">
                  <c:v>85000.0</c:v>
                </c:pt>
                <c:pt idx="3">
                  <c:v>87500.0</c:v>
                </c:pt>
                <c:pt idx="4">
                  <c:v>90000.0</c:v>
                </c:pt>
                <c:pt idx="5">
                  <c:v>92500.0</c:v>
                </c:pt>
                <c:pt idx="6">
                  <c:v>95000.0</c:v>
                </c:pt>
                <c:pt idx="7">
                  <c:v>97500.0</c:v>
                </c:pt>
                <c:pt idx="8">
                  <c:v>100000.0</c:v>
                </c:pt>
              </c:numCache>
            </c:numRef>
          </c:cat>
          <c:val>
            <c:numRef>
              <c:f>'Tableau simu'!$G$23:$G$31</c:f>
              <c:numCache>
                <c:formatCode>#,##0.00</c:formatCode>
                <c:ptCount val="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055800"/>
        <c:axId val="2119061800"/>
      </c:lineChart>
      <c:catAx>
        <c:axId val="21190558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PV</a:t>
                </a:r>
              </a:p>
            </c:rich>
          </c:tx>
          <c:layout>
            <c:manualLayout>
              <c:xMode val="edge"/>
              <c:yMode val="edge"/>
              <c:x val="0.533112582781451"/>
              <c:y val="0.2122905027932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9061800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119061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Résultat</a:t>
                </a:r>
              </a:p>
            </c:rich>
          </c:tx>
          <c:layout>
            <c:manualLayout>
              <c:xMode val="edge"/>
              <c:yMode val="edge"/>
              <c:x val="0.0529801324503311"/>
              <c:y val="0.5865921787709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9055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00002" footer="0.4921259845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1518058708919"/>
          <c:y val="0.0615186998473331"/>
          <c:w val="0.947029998550797"/>
          <c:h val="0.915166993810587"/>
        </c:manualLayout>
      </c:layout>
      <c:lineChart>
        <c:grouping val="standard"/>
        <c:varyColors val="0"/>
        <c:ser>
          <c:idx val="0"/>
          <c:order val="0"/>
          <c:dLbls>
            <c:dLbl>
              <c:idx val="2"/>
              <c:layout>
                <c:manualLayout>
                  <c:x val="-0.00408997955010225"/>
                  <c:y val="0.12607449856733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049079754601227"/>
                  <c:y val="0.087870105062082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0654396728016363"/>
                  <c:y val="0.095510983763132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016359918200409"/>
                  <c:y val="0.099331423113658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00245398773006137"/>
                  <c:y val="0.10315186246418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049079754601227"/>
                  <c:y val="0.087870105062082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0654396728016363"/>
                  <c:y val="0.1337153772683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.00245398773006137"/>
                  <c:y val="0.10315186246418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.0"/>
                  <c:y val="0.091690544412607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.0"/>
                  <c:y val="0.095510983763132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'Trésorerie '!$C$1:$AA$1</c:f>
              <c:strCache>
                <c:ptCount val="25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Janv</c:v>
                </c:pt>
                <c:pt idx="13">
                  <c:v>Fév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</c:v>
                </c:pt>
              </c:strCache>
            </c:strRef>
          </c:cat>
          <c:val>
            <c:numRef>
              <c:f>'Trésorerie '!$C$3:$AA$3</c:f>
              <c:numCache>
                <c:formatCode>0.00</c:formatCode>
                <c:ptCount val="2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476856"/>
        <c:axId val="2118473864"/>
      </c:lineChart>
      <c:catAx>
        <c:axId val="2118476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18473864"/>
        <c:crosses val="autoZero"/>
        <c:auto val="1"/>
        <c:lblAlgn val="ctr"/>
        <c:lblOffset val="100"/>
        <c:noMultiLvlLbl val="0"/>
      </c:catAx>
      <c:valAx>
        <c:axId val="2118473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18476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'Charges '!$E$3:$E$6</c:f>
              <c:numCache>
                <c:formatCode>General</c:formatCode>
                <c:ptCount val="4"/>
              </c:numCache>
            </c:numRef>
          </c:cat>
          <c:val>
            <c:numRef>
              <c:f>'Charges '!$H$3:$H$6</c:f>
              <c:numCache>
                <c:formatCode>0.00%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435224"/>
        <c:axId val="2118431768"/>
      </c:lineChart>
      <c:catAx>
        <c:axId val="211843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431768"/>
        <c:crosses val="autoZero"/>
        <c:auto val="1"/>
        <c:lblAlgn val="ctr"/>
        <c:lblOffset val="100"/>
        <c:noMultiLvlLbl val="0"/>
      </c:catAx>
      <c:valAx>
        <c:axId val="21184317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18435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95250</xdr:rowOff>
    </xdr:from>
    <xdr:to>
      <xdr:col>10</xdr:col>
      <xdr:colOff>685800</xdr:colOff>
      <xdr:row>27</xdr:row>
      <xdr:rowOff>161925</xdr:rowOff>
    </xdr:to>
    <xdr:graphicFrame macro="">
      <xdr:nvGraphicFramePr>
        <xdr:cNvPr id="310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3048000</xdr:colOff>
      <xdr:row>57</xdr:row>
      <xdr:rowOff>19049</xdr:rowOff>
    </xdr:from>
    <xdr:to>
      <xdr:col>26</xdr:col>
      <xdr:colOff>600075</xdr:colOff>
      <xdr:row>77</xdr:row>
      <xdr:rowOff>104774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76200</xdr:rowOff>
    </xdr:from>
    <xdr:to>
      <xdr:col>14</xdr:col>
      <xdr:colOff>28575</xdr:colOff>
      <xdr:row>44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/EISTI%20ICOM%202010-2011/Corrig&#233;s%20ICOM%202010-2011/Corrig&#233;%20MEDIAFORM/Business%20plan%20A1-A2%20simulateur%20c%20est%20le%20bon%20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au simu"/>
      <sheetName val="Prod,Fact,Encaisse"/>
      <sheetName val="TEC"/>
      <sheetName val="Personnel,salaires"/>
      <sheetName val="Immo"/>
      <sheetName val="TH "/>
      <sheetName val="Budget, PV contrat"/>
      <sheetName val="TVA"/>
      <sheetName val="Trésorerie "/>
      <sheetName val="Produits "/>
      <sheetName val="Charges "/>
      <sheetName val="Passif "/>
      <sheetName val="Actif "/>
      <sheetName val="FR, BFR,CA max"/>
      <sheetName val="Plan financt"/>
      <sheetName val="Equation perf"/>
      <sheetName val="Impact Scénariste"/>
      <sheetName val="Prime DC et IRPP"/>
    </sheetNames>
    <sheetDataSet>
      <sheetData sheetId="0">
        <row r="34">
          <cell r="B34">
            <v>3000</v>
          </cell>
        </row>
        <row r="35">
          <cell r="B35">
            <v>3000</v>
          </cell>
        </row>
        <row r="36">
          <cell r="B36">
            <v>3000</v>
          </cell>
        </row>
        <row r="37">
          <cell r="B37">
            <v>1200</v>
          </cell>
        </row>
        <row r="39">
          <cell r="B39">
            <v>3000</v>
          </cell>
        </row>
        <row r="40">
          <cell r="B40">
            <v>2500</v>
          </cell>
        </row>
        <row r="41">
          <cell r="B41">
            <v>2800</v>
          </cell>
        </row>
        <row r="42">
          <cell r="B42">
            <v>1500</v>
          </cell>
        </row>
        <row r="43">
          <cell r="B43">
            <v>0</v>
          </cell>
          <cell r="C4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5"/>
  <sheetViews>
    <sheetView topLeftCell="A26" workbookViewId="0">
      <selection activeCell="E33" sqref="E33"/>
    </sheetView>
  </sheetViews>
  <sheetFormatPr baseColWidth="10" defaultRowHeight="12" x14ac:dyDescent="0"/>
  <cols>
    <col min="1" max="1" width="45.33203125" bestFit="1" customWidth="1"/>
    <col min="2" max="2" width="9.1640625" bestFit="1" customWidth="1"/>
    <col min="3" max="4" width="8.33203125" bestFit="1" customWidth="1"/>
    <col min="5" max="5" width="49.33203125" bestFit="1" customWidth="1"/>
    <col min="6" max="6" width="9.33203125" bestFit="1" customWidth="1"/>
    <col min="7" max="7" width="10" bestFit="1" customWidth="1"/>
    <col min="8" max="8" width="11.1640625" bestFit="1" customWidth="1"/>
  </cols>
  <sheetData>
    <row r="1" spans="1:8" ht="20">
      <c r="A1" s="331" t="s">
        <v>359</v>
      </c>
      <c r="B1" s="168" t="s">
        <v>397</v>
      </c>
      <c r="C1" s="464" t="s">
        <v>398</v>
      </c>
      <c r="D1" s="465"/>
      <c r="E1" s="330" t="s">
        <v>360</v>
      </c>
      <c r="F1" s="168" t="s">
        <v>407</v>
      </c>
      <c r="G1" s="169" t="s">
        <v>408</v>
      </c>
      <c r="H1" s="85"/>
    </row>
    <row r="2" spans="1:8" ht="39" customHeight="1">
      <c r="A2" s="170" t="s">
        <v>367</v>
      </c>
      <c r="B2" s="206" t="s">
        <v>401</v>
      </c>
      <c r="C2" s="206" t="s">
        <v>401</v>
      </c>
      <c r="D2" s="210" t="s">
        <v>402</v>
      </c>
      <c r="E2" s="355"/>
      <c r="F2" s="162"/>
      <c r="G2" s="171"/>
      <c r="H2" s="48"/>
    </row>
    <row r="3" spans="1:8">
      <c r="A3" s="190" t="s">
        <v>400</v>
      </c>
      <c r="B3" s="323" t="s">
        <v>403</v>
      </c>
      <c r="C3" s="323" t="s">
        <v>374</v>
      </c>
      <c r="D3" s="326" t="s">
        <v>403</v>
      </c>
      <c r="E3" s="356" t="s">
        <v>488</v>
      </c>
      <c r="F3" s="163"/>
      <c r="G3" s="172"/>
      <c r="H3" s="48"/>
    </row>
    <row r="4" spans="1:8">
      <c r="A4" s="190" t="s">
        <v>399</v>
      </c>
      <c r="B4" s="323" t="s">
        <v>403</v>
      </c>
      <c r="C4" s="323" t="s">
        <v>374</v>
      </c>
      <c r="D4" s="326" t="s">
        <v>374</v>
      </c>
      <c r="E4" s="356" t="s">
        <v>489</v>
      </c>
      <c r="F4" s="163"/>
      <c r="G4" s="172"/>
      <c r="H4" s="48"/>
    </row>
    <row r="5" spans="1:8">
      <c r="A5" s="176" t="s">
        <v>240</v>
      </c>
      <c r="B5" s="323" t="s">
        <v>374</v>
      </c>
      <c r="C5" s="323" t="s">
        <v>374</v>
      </c>
      <c r="D5" s="326" t="s">
        <v>403</v>
      </c>
      <c r="E5" s="356" t="s">
        <v>460</v>
      </c>
      <c r="F5" s="163"/>
      <c r="G5" s="172"/>
      <c r="H5" s="33"/>
    </row>
    <row r="6" spans="1:8">
      <c r="A6" s="176" t="s">
        <v>368</v>
      </c>
      <c r="B6" s="323" t="s">
        <v>374</v>
      </c>
      <c r="C6" s="323" t="s">
        <v>374</v>
      </c>
      <c r="D6" s="326" t="s">
        <v>374</v>
      </c>
      <c r="E6" s="356" t="s">
        <v>461</v>
      </c>
      <c r="F6" s="163"/>
      <c r="G6" s="172"/>
      <c r="H6" s="33"/>
    </row>
    <row r="7" spans="1:8">
      <c r="A7" s="176" t="s">
        <v>242</v>
      </c>
      <c r="B7" s="323" t="s">
        <v>374</v>
      </c>
      <c r="C7" s="323" t="s">
        <v>374</v>
      </c>
      <c r="D7" s="326" t="s">
        <v>403</v>
      </c>
      <c r="E7" s="325"/>
      <c r="F7" s="162"/>
      <c r="G7" s="173"/>
      <c r="H7" s="48"/>
    </row>
    <row r="8" spans="1:8">
      <c r="A8" s="176" t="s">
        <v>243</v>
      </c>
      <c r="B8" s="323" t="s">
        <v>374</v>
      </c>
      <c r="C8" s="323" t="s">
        <v>374</v>
      </c>
      <c r="D8" s="326" t="s">
        <v>374</v>
      </c>
      <c r="E8" s="355" t="s">
        <v>466</v>
      </c>
      <c r="F8" s="164"/>
      <c r="G8" s="174"/>
      <c r="H8" s="58"/>
    </row>
    <row r="9" spans="1:8">
      <c r="A9" s="176" t="s">
        <v>369</v>
      </c>
      <c r="B9" s="323" t="s">
        <v>374</v>
      </c>
      <c r="C9" s="323" t="s">
        <v>374</v>
      </c>
      <c r="D9" s="326" t="s">
        <v>403</v>
      </c>
      <c r="E9" s="355" t="s">
        <v>312</v>
      </c>
      <c r="F9" s="164"/>
      <c r="G9" s="174"/>
      <c r="H9" s="58"/>
    </row>
    <row r="10" spans="1:8">
      <c r="A10" s="176" t="s">
        <v>245</v>
      </c>
      <c r="B10" s="323" t="s">
        <v>374</v>
      </c>
      <c r="C10" s="323" t="s">
        <v>374</v>
      </c>
      <c r="D10" s="326" t="s">
        <v>374</v>
      </c>
      <c r="E10" s="357" t="s">
        <v>379</v>
      </c>
      <c r="F10" s="164"/>
      <c r="G10" s="174"/>
      <c r="H10" s="59"/>
    </row>
    <row r="11" spans="1:8">
      <c r="A11" s="176" t="s">
        <v>370</v>
      </c>
      <c r="B11" s="323" t="s">
        <v>374</v>
      </c>
      <c r="C11" s="323" t="s">
        <v>374</v>
      </c>
      <c r="D11" s="326" t="s">
        <v>403</v>
      </c>
      <c r="E11" s="357" t="s">
        <v>347</v>
      </c>
      <c r="F11" s="164"/>
      <c r="G11" s="174"/>
      <c r="H11" s="58"/>
    </row>
    <row r="12" spans="1:8">
      <c r="A12" s="176" t="s">
        <v>371</v>
      </c>
      <c r="B12" s="323" t="s">
        <v>374</v>
      </c>
      <c r="C12" s="323" t="s">
        <v>374</v>
      </c>
      <c r="D12" s="326" t="s">
        <v>374</v>
      </c>
      <c r="E12" s="358" t="s">
        <v>465</v>
      </c>
      <c r="F12" s="165"/>
      <c r="G12" s="174"/>
      <c r="H12" s="59"/>
    </row>
    <row r="13" spans="1:8">
      <c r="A13" s="176" t="s">
        <v>372</v>
      </c>
      <c r="B13" s="323" t="s">
        <v>374</v>
      </c>
      <c r="C13" s="323" t="s">
        <v>374</v>
      </c>
      <c r="D13" s="326" t="s">
        <v>403</v>
      </c>
      <c r="E13" s="357" t="s">
        <v>322</v>
      </c>
      <c r="F13" s="164"/>
      <c r="G13" s="174"/>
      <c r="H13" s="59"/>
    </row>
    <row r="14" spans="1:8">
      <c r="A14" s="176" t="s">
        <v>373</v>
      </c>
      <c r="B14" s="323" t="s">
        <v>374</v>
      </c>
      <c r="C14" s="323" t="s">
        <v>374</v>
      </c>
      <c r="D14" s="326" t="s">
        <v>374</v>
      </c>
      <c r="E14" s="327" t="s">
        <v>279</v>
      </c>
      <c r="F14" s="166"/>
      <c r="G14" s="177"/>
      <c r="H14" s="59"/>
    </row>
    <row r="15" spans="1:8" ht="26.25" customHeight="1">
      <c r="A15" s="370" t="s">
        <v>405</v>
      </c>
      <c r="B15" s="361" t="s">
        <v>404</v>
      </c>
      <c r="C15" s="361" t="s">
        <v>404</v>
      </c>
      <c r="D15" s="371" t="s">
        <v>406</v>
      </c>
      <c r="E15" s="359" t="s">
        <v>321</v>
      </c>
      <c r="F15" s="167"/>
      <c r="G15" s="178"/>
      <c r="H15" s="59"/>
    </row>
    <row r="16" spans="1:8">
      <c r="A16" s="175" t="s">
        <v>464</v>
      </c>
      <c r="B16" s="362">
        <v>100000</v>
      </c>
      <c r="C16" s="362">
        <v>80000</v>
      </c>
      <c r="D16" s="372"/>
      <c r="E16" s="357" t="s">
        <v>355</v>
      </c>
      <c r="F16" s="164"/>
      <c r="G16" s="174"/>
      <c r="H16" s="59"/>
    </row>
    <row r="17" spans="1:8">
      <c r="A17" s="170" t="s">
        <v>454</v>
      </c>
      <c r="B17" s="362"/>
      <c r="C17" s="362"/>
      <c r="D17" s="372">
        <v>120000</v>
      </c>
      <c r="E17" s="357" t="s">
        <v>356</v>
      </c>
      <c r="F17" s="164"/>
      <c r="G17" s="174"/>
      <c r="H17" s="59"/>
    </row>
    <row r="18" spans="1:8">
      <c r="A18" s="176"/>
      <c r="B18" s="363"/>
      <c r="C18" s="363"/>
      <c r="D18" s="373"/>
      <c r="E18" s="355" t="s">
        <v>313</v>
      </c>
      <c r="F18" s="164"/>
      <c r="G18" s="179"/>
      <c r="H18" s="59"/>
    </row>
    <row r="19" spans="1:8" ht="13" thickBot="1">
      <c r="A19" s="175" t="s">
        <v>311</v>
      </c>
      <c r="B19" s="364"/>
      <c r="C19" s="364"/>
      <c r="D19" s="374"/>
      <c r="E19" s="360" t="s">
        <v>314</v>
      </c>
      <c r="F19" s="181"/>
      <c r="G19" s="182"/>
      <c r="H19" s="59"/>
    </row>
    <row r="20" spans="1:8">
      <c r="A20" s="176" t="s">
        <v>483</v>
      </c>
      <c r="B20" s="363">
        <v>0.1</v>
      </c>
      <c r="C20" s="363">
        <v>0.1</v>
      </c>
      <c r="D20" s="373">
        <v>0.1</v>
      </c>
      <c r="E20" s="80"/>
      <c r="H20" s="59"/>
    </row>
    <row r="21" spans="1:8" ht="13" thickBot="1">
      <c r="A21" s="176" t="s">
        <v>412</v>
      </c>
      <c r="B21" s="363">
        <v>0.4</v>
      </c>
      <c r="C21" s="363">
        <v>0.4</v>
      </c>
      <c r="D21" s="373">
        <v>0.4</v>
      </c>
      <c r="E21" s="33"/>
      <c r="H21" s="65"/>
    </row>
    <row r="22" spans="1:8">
      <c r="A22" s="176" t="s">
        <v>316</v>
      </c>
      <c r="B22" s="365">
        <f>1-(B20+B21)</f>
        <v>0.5</v>
      </c>
      <c r="C22" s="365">
        <f>1-(C20+C21)</f>
        <v>0.5</v>
      </c>
      <c r="D22" s="375">
        <f>1-(D20+D21)</f>
        <v>0.5</v>
      </c>
      <c r="E22" s="33"/>
      <c r="F22" s="142" t="s">
        <v>475</v>
      </c>
      <c r="G22" s="143" t="s">
        <v>474</v>
      </c>
      <c r="H22" s="65"/>
    </row>
    <row r="23" spans="1:8">
      <c r="A23" s="190" t="s">
        <v>587</v>
      </c>
      <c r="B23" s="470">
        <v>30</v>
      </c>
      <c r="C23" s="470"/>
      <c r="D23" s="471"/>
      <c r="E23" s="33"/>
      <c r="F23" s="151">
        <v>80000</v>
      </c>
      <c r="G23" s="152"/>
      <c r="H23" s="65"/>
    </row>
    <row r="24" spans="1:8">
      <c r="A24" s="175" t="s">
        <v>317</v>
      </c>
      <c r="B24" s="366"/>
      <c r="C24" s="366"/>
      <c r="D24" s="376"/>
      <c r="E24" s="33"/>
      <c r="F24" s="153">
        <v>82500</v>
      </c>
      <c r="G24" s="77"/>
      <c r="H24" s="65"/>
    </row>
    <row r="25" spans="1:8">
      <c r="A25" s="176" t="s">
        <v>413</v>
      </c>
      <c r="B25" s="367" t="s">
        <v>375</v>
      </c>
      <c r="C25" s="367" t="s">
        <v>375</v>
      </c>
      <c r="D25" s="377" t="s">
        <v>375</v>
      </c>
      <c r="E25" s="48"/>
      <c r="F25" s="153">
        <v>85000</v>
      </c>
      <c r="G25" s="77"/>
      <c r="H25" s="66"/>
    </row>
    <row r="26" spans="1:8">
      <c r="A26" s="176" t="s">
        <v>414</v>
      </c>
      <c r="B26" s="367" t="s">
        <v>375</v>
      </c>
      <c r="C26" s="367" t="s">
        <v>375</v>
      </c>
      <c r="D26" s="377" t="s">
        <v>375</v>
      </c>
      <c r="E26" s="48"/>
      <c r="F26" s="153">
        <v>87500</v>
      </c>
      <c r="G26" s="77"/>
      <c r="H26" s="66"/>
    </row>
    <row r="27" spans="1:8">
      <c r="A27" s="175" t="s">
        <v>319</v>
      </c>
      <c r="B27" s="323"/>
      <c r="C27" s="323"/>
      <c r="D27" s="326"/>
      <c r="E27" s="48"/>
      <c r="F27" s="153">
        <v>90000</v>
      </c>
      <c r="G27" s="77"/>
      <c r="H27" s="59"/>
    </row>
    <row r="28" spans="1:8">
      <c r="A28" s="176" t="s">
        <v>152</v>
      </c>
      <c r="B28" s="362">
        <v>65000</v>
      </c>
      <c r="C28" s="466">
        <v>0</v>
      </c>
      <c r="D28" s="467"/>
      <c r="E28" s="48"/>
      <c r="F28" s="153">
        <v>92500</v>
      </c>
      <c r="G28" s="77"/>
      <c r="H28" s="66"/>
    </row>
    <row r="29" spans="1:8">
      <c r="A29" s="176" t="s">
        <v>366</v>
      </c>
      <c r="B29" s="323">
        <v>36</v>
      </c>
      <c r="C29" s="466">
        <v>0</v>
      </c>
      <c r="D29" s="467"/>
      <c r="E29" s="33"/>
      <c r="F29" s="153">
        <v>95000</v>
      </c>
      <c r="G29" s="77"/>
      <c r="H29" s="66"/>
    </row>
    <row r="30" spans="1:8">
      <c r="A30" s="176" t="s">
        <v>320</v>
      </c>
      <c r="B30" s="363">
        <v>7.0000000000000007E-2</v>
      </c>
      <c r="C30" s="462">
        <v>0</v>
      </c>
      <c r="D30" s="463"/>
      <c r="E30" s="33"/>
      <c r="F30" s="153">
        <v>97500</v>
      </c>
      <c r="G30" s="77"/>
      <c r="H30" s="87"/>
    </row>
    <row r="31" spans="1:8" ht="13" thickBot="1">
      <c r="A31" s="170" t="s">
        <v>358</v>
      </c>
      <c r="B31" s="368">
        <v>0.1</v>
      </c>
      <c r="C31" s="468">
        <v>0.1</v>
      </c>
      <c r="D31" s="469"/>
      <c r="F31" s="154">
        <v>100000</v>
      </c>
      <c r="G31" s="155"/>
      <c r="H31" s="70"/>
    </row>
    <row r="32" spans="1:8">
      <c r="A32" s="175" t="s">
        <v>323</v>
      </c>
      <c r="B32" s="363">
        <v>0</v>
      </c>
      <c r="C32" s="462">
        <v>0</v>
      </c>
      <c r="D32" s="463"/>
      <c r="G32" s="61"/>
      <c r="H32" s="70"/>
    </row>
    <row r="33" spans="1:8">
      <c r="A33" s="170" t="s">
        <v>350</v>
      </c>
      <c r="B33" s="162"/>
      <c r="C33" s="162"/>
      <c r="D33" s="173"/>
      <c r="G33" s="61"/>
      <c r="H33" s="70"/>
    </row>
    <row r="34" spans="1:8">
      <c r="A34" s="176" t="s">
        <v>250</v>
      </c>
      <c r="B34" s="323">
        <v>3000</v>
      </c>
      <c r="C34" s="466">
        <v>3500</v>
      </c>
      <c r="D34" s="467"/>
      <c r="G34" s="61"/>
      <c r="H34" s="70"/>
    </row>
    <row r="35" spans="1:8">
      <c r="A35" s="176" t="s">
        <v>130</v>
      </c>
      <c r="B35" s="323">
        <v>3000</v>
      </c>
      <c r="C35" s="466">
        <v>3500</v>
      </c>
      <c r="D35" s="467"/>
      <c r="G35" s="61"/>
      <c r="H35" s="70"/>
    </row>
    <row r="36" spans="1:8">
      <c r="A36" s="176" t="s">
        <v>251</v>
      </c>
      <c r="B36" s="323">
        <v>3000</v>
      </c>
      <c r="C36" s="466">
        <v>3500</v>
      </c>
      <c r="D36" s="467"/>
      <c r="G36" s="61"/>
      <c r="H36" s="70"/>
    </row>
    <row r="37" spans="1:8">
      <c r="A37" s="176" t="s">
        <v>252</v>
      </c>
      <c r="B37" s="323">
        <v>1200</v>
      </c>
      <c r="C37" s="466">
        <v>1500</v>
      </c>
      <c r="D37" s="467"/>
      <c r="G37" s="61"/>
      <c r="H37" s="70"/>
    </row>
    <row r="38" spans="1:8">
      <c r="A38" s="176" t="s">
        <v>411</v>
      </c>
      <c r="B38" s="323">
        <v>0</v>
      </c>
      <c r="C38" s="466">
        <v>2800</v>
      </c>
      <c r="D38" s="467"/>
      <c r="G38" s="61"/>
      <c r="H38" s="70"/>
    </row>
    <row r="39" spans="1:8">
      <c r="A39" s="176" t="s">
        <v>253</v>
      </c>
      <c r="B39" s="323">
        <v>3000</v>
      </c>
      <c r="C39" s="466">
        <v>3500</v>
      </c>
      <c r="D39" s="467"/>
    </row>
    <row r="40" spans="1:8">
      <c r="A40" s="176" t="s">
        <v>255</v>
      </c>
      <c r="B40" s="323">
        <v>2500</v>
      </c>
      <c r="C40" s="466">
        <v>2800</v>
      </c>
      <c r="D40" s="467"/>
      <c r="G40" s="70"/>
      <c r="H40" s="69"/>
    </row>
    <row r="41" spans="1:8">
      <c r="A41" s="176" t="s">
        <v>265</v>
      </c>
      <c r="B41" s="323">
        <v>2800</v>
      </c>
      <c r="C41" s="466">
        <v>3000</v>
      </c>
      <c r="D41" s="467"/>
      <c r="G41" s="70"/>
      <c r="H41" s="70"/>
    </row>
    <row r="42" spans="1:8">
      <c r="A42" s="176" t="s">
        <v>266</v>
      </c>
      <c r="B42" s="323">
        <v>1500</v>
      </c>
      <c r="C42" s="466">
        <v>2000</v>
      </c>
      <c r="D42" s="467"/>
      <c r="G42" s="70"/>
      <c r="H42" s="70"/>
    </row>
    <row r="43" spans="1:8">
      <c r="A43" s="176" t="s">
        <v>269</v>
      </c>
      <c r="B43" s="323">
        <v>0</v>
      </c>
      <c r="C43" s="323"/>
      <c r="D43" s="326"/>
      <c r="G43" s="70"/>
      <c r="H43" s="70"/>
    </row>
    <row r="44" spans="1:8">
      <c r="A44" s="170" t="s">
        <v>348</v>
      </c>
      <c r="B44" s="369"/>
      <c r="C44" s="369"/>
      <c r="D44" s="378"/>
      <c r="G44" s="70"/>
      <c r="H44" s="33"/>
    </row>
    <row r="45" spans="1:8">
      <c r="A45" s="176" t="s">
        <v>268</v>
      </c>
      <c r="B45" s="323">
        <v>100</v>
      </c>
      <c r="C45" s="466">
        <v>100</v>
      </c>
      <c r="D45" s="467"/>
      <c r="G45" s="71"/>
      <c r="H45" s="71"/>
    </row>
    <row r="46" spans="1:8">
      <c r="A46" s="176" t="s">
        <v>269</v>
      </c>
      <c r="B46" s="323">
        <v>100</v>
      </c>
      <c r="C46" s="466">
        <v>100</v>
      </c>
      <c r="D46" s="467"/>
      <c r="G46" s="61"/>
      <c r="H46" s="58"/>
    </row>
    <row r="47" spans="1:8">
      <c r="A47" s="176" t="s">
        <v>270</v>
      </c>
      <c r="B47" s="323">
        <v>60</v>
      </c>
      <c r="C47" s="466">
        <v>60</v>
      </c>
      <c r="D47" s="467"/>
      <c r="G47" s="61"/>
      <c r="H47" s="58"/>
    </row>
    <row r="48" spans="1:8">
      <c r="A48" s="176" t="s">
        <v>349</v>
      </c>
      <c r="B48" s="323">
        <v>0</v>
      </c>
      <c r="C48" s="466">
        <v>700</v>
      </c>
      <c r="D48" s="467"/>
      <c r="G48" s="61"/>
      <c r="H48" s="58"/>
    </row>
    <row r="49" spans="1:8">
      <c r="A49" s="170" t="s">
        <v>351</v>
      </c>
      <c r="B49" s="363">
        <v>0.5</v>
      </c>
      <c r="C49" s="462">
        <v>0.5</v>
      </c>
      <c r="D49" s="463"/>
      <c r="G49" s="61"/>
      <c r="H49" s="58"/>
    </row>
    <row r="50" spans="1:8">
      <c r="A50" s="277"/>
      <c r="B50" s="162"/>
      <c r="C50" s="162"/>
      <c r="D50" s="173"/>
      <c r="G50" s="61"/>
      <c r="H50" s="58"/>
    </row>
    <row r="51" spans="1:8">
      <c r="A51" s="170" t="s">
        <v>352</v>
      </c>
      <c r="B51" s="363">
        <v>0.2</v>
      </c>
      <c r="C51" s="462">
        <v>0.2</v>
      </c>
      <c r="D51" s="463"/>
      <c r="G51" s="61"/>
      <c r="H51" s="58"/>
    </row>
    <row r="52" spans="1:8">
      <c r="A52" s="170" t="s">
        <v>353</v>
      </c>
      <c r="B52" s="363">
        <v>0.08</v>
      </c>
      <c r="C52" s="462">
        <v>0.08</v>
      </c>
      <c r="D52" s="463"/>
      <c r="G52" s="61"/>
      <c r="H52" s="58"/>
    </row>
    <row r="53" spans="1:8">
      <c r="A53" s="170" t="s">
        <v>354</v>
      </c>
      <c r="B53" s="368">
        <v>0.33329999999999999</v>
      </c>
      <c r="C53" s="468">
        <v>0.33329999999999999</v>
      </c>
      <c r="D53" s="469"/>
      <c r="G53" s="61"/>
      <c r="H53" s="58"/>
    </row>
    <row r="54" spans="1:8">
      <c r="A54" s="158"/>
      <c r="B54" s="162"/>
      <c r="C54" s="162"/>
      <c r="D54" s="173"/>
    </row>
    <row r="55" spans="1:8" ht="13" thickBot="1">
      <c r="A55" s="180" t="s">
        <v>207</v>
      </c>
      <c r="B55" s="379">
        <v>50000</v>
      </c>
      <c r="C55" s="379"/>
      <c r="D55" s="380"/>
    </row>
  </sheetData>
  <mergeCells count="24">
    <mergeCell ref="C38:D38"/>
    <mergeCell ref="C34:D34"/>
    <mergeCell ref="C39:D39"/>
    <mergeCell ref="C40:D40"/>
    <mergeCell ref="C35:D35"/>
    <mergeCell ref="C36:D36"/>
    <mergeCell ref="C37:D37"/>
    <mergeCell ref="C41:D41"/>
    <mergeCell ref="C42:D42"/>
    <mergeCell ref="C53:D53"/>
    <mergeCell ref="C45:D45"/>
    <mergeCell ref="C46:D46"/>
    <mergeCell ref="C47:D47"/>
    <mergeCell ref="C48:D48"/>
    <mergeCell ref="C49:D49"/>
    <mergeCell ref="C51:D51"/>
    <mergeCell ref="C52:D52"/>
    <mergeCell ref="C32:D32"/>
    <mergeCell ref="C1:D1"/>
    <mergeCell ref="C28:D28"/>
    <mergeCell ref="C31:D31"/>
    <mergeCell ref="C29:D29"/>
    <mergeCell ref="C30:D30"/>
    <mergeCell ref="B23:D23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6"/>
  <sheetViews>
    <sheetView workbookViewId="0">
      <selection activeCell="D26" sqref="D26"/>
    </sheetView>
  </sheetViews>
  <sheetFormatPr baseColWidth="10" defaultRowHeight="12" x14ac:dyDescent="0"/>
  <cols>
    <col min="1" max="1" width="5.33203125" bestFit="1" customWidth="1"/>
    <col min="2" max="2" width="57.6640625" bestFit="1" customWidth="1"/>
    <col min="3" max="4" width="11.6640625" bestFit="1" customWidth="1"/>
  </cols>
  <sheetData>
    <row r="2" spans="1:4">
      <c r="A2" t="s">
        <v>34</v>
      </c>
      <c r="C2" s="6" t="s">
        <v>20</v>
      </c>
      <c r="D2" s="6" t="s">
        <v>431</v>
      </c>
    </row>
    <row r="3" spans="1:4">
      <c r="B3" s="1" t="s">
        <v>43</v>
      </c>
      <c r="C3" s="6" t="s">
        <v>152</v>
      </c>
      <c r="D3" s="6" t="s">
        <v>152</v>
      </c>
    </row>
    <row r="4" spans="1:4">
      <c r="B4" s="8" t="s">
        <v>0</v>
      </c>
    </row>
    <row r="5" spans="1:4">
      <c r="B5" s="9" t="s">
        <v>1</v>
      </c>
    </row>
    <row r="6" spans="1:4">
      <c r="B6" s="2" t="s">
        <v>2</v>
      </c>
    </row>
    <row r="7" spans="1:4">
      <c r="B7" t="s">
        <v>228</v>
      </c>
      <c r="C7" s="24"/>
      <c r="D7" s="24"/>
    </row>
    <row r="8" spans="1:4">
      <c r="B8" s="9" t="s">
        <v>3</v>
      </c>
    </row>
    <row r="9" spans="1:4">
      <c r="B9" s="2" t="s">
        <v>180</v>
      </c>
      <c r="C9" s="24"/>
      <c r="D9" s="24"/>
    </row>
    <row r="10" spans="1:4">
      <c r="B10" s="2" t="s">
        <v>153</v>
      </c>
      <c r="C10" s="24"/>
    </row>
    <row r="11" spans="1:4">
      <c r="B11" s="2" t="s">
        <v>4</v>
      </c>
    </row>
    <row r="12" spans="1:4">
      <c r="B12" s="9" t="s">
        <v>5</v>
      </c>
    </row>
    <row r="13" spans="1:4">
      <c r="B13" s="9" t="s">
        <v>6</v>
      </c>
    </row>
    <row r="14" spans="1:4">
      <c r="B14" s="9" t="s">
        <v>7</v>
      </c>
    </row>
    <row r="15" spans="1:4">
      <c r="B15" s="2" t="s">
        <v>21</v>
      </c>
      <c r="C15" s="24"/>
      <c r="D15" s="24"/>
    </row>
    <row r="16" spans="1:4">
      <c r="B16" s="9" t="s">
        <v>22</v>
      </c>
      <c r="C16" s="23"/>
    </row>
    <row r="17" spans="1:3">
      <c r="C17" s="23"/>
    </row>
    <row r="18" spans="1:3">
      <c r="A18">
        <v>76</v>
      </c>
      <c r="B18" s="7" t="s">
        <v>8</v>
      </c>
      <c r="C18" s="23"/>
    </row>
    <row r="19" spans="1:3">
      <c r="B19" s="9" t="s">
        <v>9</v>
      </c>
      <c r="C19" s="23"/>
    </row>
    <row r="20" spans="1:3">
      <c r="B20" s="9" t="s">
        <v>10</v>
      </c>
      <c r="C20" s="23"/>
    </row>
    <row r="21" spans="1:3">
      <c r="B21" s="9" t="s">
        <v>11</v>
      </c>
      <c r="C21" s="23"/>
    </row>
    <row r="22" spans="1:3">
      <c r="B22" s="9" t="s">
        <v>12</v>
      </c>
      <c r="C22" s="23"/>
    </row>
    <row r="23" spans="1:3">
      <c r="B23" s="9" t="s">
        <v>13</v>
      </c>
      <c r="C23" s="23"/>
    </row>
    <row r="24" spans="1:3">
      <c r="B24" s="9" t="s">
        <v>14</v>
      </c>
      <c r="C24" s="23"/>
    </row>
    <row r="25" spans="1:3">
      <c r="B25" s="10" t="s">
        <v>23</v>
      </c>
      <c r="C25" s="23"/>
    </row>
    <row r="26" spans="1:3">
      <c r="C26" s="23"/>
    </row>
    <row r="27" spans="1:3">
      <c r="A27">
        <v>77</v>
      </c>
      <c r="B27" s="7" t="s">
        <v>15</v>
      </c>
      <c r="C27" s="23"/>
    </row>
    <row r="28" spans="1:3">
      <c r="B28" s="9" t="s">
        <v>16</v>
      </c>
      <c r="C28" s="23"/>
    </row>
    <row r="29" spans="1:3">
      <c r="B29" s="9" t="s">
        <v>17</v>
      </c>
      <c r="C29" s="23"/>
    </row>
    <row r="30" spans="1:3">
      <c r="A30">
        <v>78</v>
      </c>
      <c r="B30" s="9" t="s">
        <v>36</v>
      </c>
      <c r="C30" s="23"/>
    </row>
    <row r="31" spans="1:3">
      <c r="A31">
        <v>79</v>
      </c>
      <c r="B31" s="9" t="s">
        <v>35</v>
      </c>
      <c r="C31" s="23"/>
    </row>
    <row r="32" spans="1:3">
      <c r="B32" s="7" t="s">
        <v>24</v>
      </c>
      <c r="C32" s="23"/>
    </row>
    <row r="33" spans="2:4">
      <c r="C33" s="23"/>
    </row>
    <row r="34" spans="2:4">
      <c r="B34" s="1" t="s">
        <v>25</v>
      </c>
      <c r="C34" s="24"/>
      <c r="D34" s="24"/>
    </row>
    <row r="35" spans="2:4">
      <c r="B35" t="s">
        <v>18</v>
      </c>
      <c r="C35" s="22"/>
      <c r="D35" s="22"/>
    </row>
    <row r="36" spans="2:4">
      <c r="B36" s="1" t="s">
        <v>19</v>
      </c>
      <c r="C36" s="24"/>
      <c r="D36" s="24"/>
    </row>
  </sheetData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  <pageSetUpPr fitToPage="1"/>
  </sheetPr>
  <dimension ref="A1:H73"/>
  <sheetViews>
    <sheetView topLeftCell="A53" workbookViewId="0">
      <selection activeCell="E3" sqref="E3:H6"/>
    </sheetView>
  </sheetViews>
  <sheetFormatPr baseColWidth="10" defaultRowHeight="12" outlineLevelRow="3" x14ac:dyDescent="0"/>
  <cols>
    <col min="1" max="1" width="5.33203125" bestFit="1" customWidth="1"/>
    <col min="2" max="2" width="69.33203125" bestFit="1" customWidth="1"/>
    <col min="3" max="3" width="10.5" bestFit="1" customWidth="1"/>
    <col min="4" max="4" width="12.5" bestFit="1" customWidth="1"/>
    <col min="5" max="5" width="21" bestFit="1" customWidth="1"/>
    <col min="6" max="6" width="17.5" bestFit="1" customWidth="1"/>
    <col min="7" max="7" width="12.83203125" bestFit="1" customWidth="1"/>
    <col min="8" max="8" width="12.1640625" bestFit="1" customWidth="1"/>
  </cols>
  <sheetData>
    <row r="1" spans="1:8">
      <c r="C1" s="6" t="s">
        <v>20</v>
      </c>
      <c r="D1" s="6" t="s">
        <v>431</v>
      </c>
      <c r="E1" s="208"/>
      <c r="F1" s="334"/>
      <c r="G1" s="334"/>
      <c r="H1" s="335"/>
    </row>
    <row r="2" spans="1:8">
      <c r="A2" t="s">
        <v>34</v>
      </c>
      <c r="C2" s="6" t="s">
        <v>152</v>
      </c>
      <c r="D2" s="6" t="s">
        <v>152</v>
      </c>
      <c r="E2" s="158" t="s">
        <v>588</v>
      </c>
      <c r="F2" s="162" t="s">
        <v>279</v>
      </c>
      <c r="G2" s="162" t="s">
        <v>589</v>
      </c>
      <c r="H2" s="173" t="s">
        <v>590</v>
      </c>
    </row>
    <row r="3" spans="1:8">
      <c r="B3" s="1" t="s">
        <v>33</v>
      </c>
      <c r="E3" s="336"/>
      <c r="F3" s="332"/>
      <c r="G3" s="333"/>
      <c r="H3" s="337"/>
    </row>
    <row r="4" spans="1:8">
      <c r="B4" s="1" t="s">
        <v>26</v>
      </c>
      <c r="E4" s="336"/>
      <c r="F4" s="332"/>
      <c r="G4" s="333"/>
      <c r="H4" s="337"/>
    </row>
    <row r="5" spans="1:8" outlineLevel="1">
      <c r="B5" s="9" t="s">
        <v>27</v>
      </c>
      <c r="E5" s="336"/>
      <c r="F5" s="332"/>
      <c r="G5" s="333"/>
      <c r="H5" s="337"/>
    </row>
    <row r="6" spans="1:8" ht="13" outlineLevel="1" thickBot="1">
      <c r="B6" s="9" t="s">
        <v>28</v>
      </c>
      <c r="D6" s="22"/>
      <c r="E6" s="338"/>
      <c r="F6" s="339"/>
      <c r="G6" s="340"/>
      <c r="H6" s="341"/>
    </row>
    <row r="7" spans="1:8" outlineLevel="1">
      <c r="B7" s="9" t="s">
        <v>29</v>
      </c>
    </row>
    <row r="8" spans="1:8" outlineLevel="1">
      <c r="B8" s="9" t="s">
        <v>28</v>
      </c>
    </row>
    <row r="9" spans="1:8" outlineLevel="1">
      <c r="B9" t="s">
        <v>158</v>
      </c>
      <c r="C9" s="23"/>
      <c r="D9" s="23"/>
    </row>
    <row r="10" spans="1:8" outlineLevel="2">
      <c r="B10" s="13" t="s">
        <v>136</v>
      </c>
      <c r="C10" s="23"/>
      <c r="D10" s="23"/>
    </row>
    <row r="11" spans="1:8" outlineLevel="3">
      <c r="B11" s="14" t="s">
        <v>445</v>
      </c>
      <c r="C11" s="23"/>
      <c r="D11" s="23"/>
    </row>
    <row r="12" spans="1:8" outlineLevel="3">
      <c r="B12" s="14" t="s">
        <v>446</v>
      </c>
      <c r="C12" s="23"/>
      <c r="D12" s="23"/>
    </row>
    <row r="13" spans="1:8" outlineLevel="2" collapsed="1">
      <c r="B13" s="15" t="s">
        <v>154</v>
      </c>
      <c r="C13" s="23"/>
      <c r="D13" s="23"/>
    </row>
    <row r="14" spans="1:8" hidden="1" outlineLevel="3">
      <c r="B14" s="14" t="s">
        <v>137</v>
      </c>
      <c r="C14" s="23"/>
      <c r="D14" s="23"/>
    </row>
    <row r="15" spans="1:8" hidden="1" outlineLevel="3">
      <c r="B15" s="14" t="s">
        <v>138</v>
      </c>
      <c r="C15" s="23"/>
      <c r="D15" s="23"/>
    </row>
    <row r="16" spans="1:8" hidden="1" outlineLevel="3">
      <c r="B16" s="14" t="s">
        <v>149</v>
      </c>
      <c r="C16" s="23"/>
      <c r="D16" s="23"/>
    </row>
    <row r="17" spans="2:4" hidden="1" outlineLevel="3">
      <c r="B17" s="14" t="s">
        <v>146</v>
      </c>
      <c r="C17" s="23"/>
      <c r="D17" s="23"/>
    </row>
    <row r="18" spans="2:4" hidden="1" outlineLevel="3">
      <c r="B18" s="14" t="s">
        <v>147</v>
      </c>
      <c r="C18" s="23"/>
      <c r="D18" s="23"/>
    </row>
    <row r="19" spans="2:4" hidden="1" outlineLevel="3">
      <c r="B19" s="14" t="s">
        <v>139</v>
      </c>
      <c r="C19" s="23"/>
      <c r="D19" s="23"/>
    </row>
    <row r="20" spans="2:4" hidden="1" outlineLevel="3">
      <c r="B20" s="14" t="s">
        <v>140</v>
      </c>
      <c r="C20" s="23"/>
      <c r="D20" s="23"/>
    </row>
    <row r="21" spans="2:4" hidden="1" outlineLevel="3">
      <c r="B21" s="14" t="s">
        <v>148</v>
      </c>
      <c r="C21" s="23"/>
      <c r="D21" s="23"/>
    </row>
    <row r="22" spans="2:4" hidden="1" outlineLevel="3">
      <c r="B22" s="14" t="s">
        <v>141</v>
      </c>
      <c r="C22" s="23"/>
      <c r="D22" s="23"/>
    </row>
    <row r="23" spans="2:4" hidden="1" outlineLevel="3">
      <c r="B23" s="14" t="s">
        <v>142</v>
      </c>
      <c r="C23" s="23"/>
      <c r="D23" s="23"/>
    </row>
    <row r="24" spans="2:4" hidden="1" outlineLevel="3">
      <c r="B24" s="14" t="s">
        <v>143</v>
      </c>
      <c r="C24" s="23"/>
      <c r="D24" s="23"/>
    </row>
    <row r="25" spans="2:4" hidden="1" outlineLevel="3">
      <c r="B25" s="14" t="s">
        <v>144</v>
      </c>
      <c r="C25" s="23"/>
      <c r="D25" s="23"/>
    </row>
    <row r="26" spans="2:4" hidden="1" outlineLevel="3">
      <c r="B26" s="14" t="s">
        <v>145</v>
      </c>
      <c r="C26" s="23"/>
      <c r="D26" s="23"/>
    </row>
    <row r="27" spans="2:4" s="13" customFormat="1" outlineLevel="1" collapsed="1">
      <c r="B27" s="13" t="s">
        <v>156</v>
      </c>
      <c r="C27" s="29"/>
      <c r="D27" s="29"/>
    </row>
    <row r="28" spans="2:4" hidden="1" outlineLevel="2">
      <c r="B28" s="3" t="s">
        <v>123</v>
      </c>
      <c r="C28" s="23"/>
      <c r="D28" s="23"/>
    </row>
    <row r="29" spans="2:4" hidden="1" outlineLevel="2">
      <c r="B29" s="3" t="s">
        <v>124</v>
      </c>
      <c r="C29" s="23"/>
      <c r="D29" s="23"/>
    </row>
    <row r="30" spans="2:4" hidden="1" outlineLevel="2">
      <c r="B30" s="3" t="s">
        <v>125</v>
      </c>
      <c r="C30" s="23"/>
      <c r="D30" s="23"/>
    </row>
    <row r="31" spans="2:4" hidden="1" outlineLevel="2">
      <c r="B31" s="3" t="s">
        <v>126</v>
      </c>
      <c r="C31" s="23"/>
      <c r="D31" s="23"/>
    </row>
    <row r="32" spans="2:4" hidden="1" outlineLevel="2">
      <c r="B32" s="3" t="s">
        <v>127</v>
      </c>
      <c r="C32" s="23"/>
      <c r="D32" s="23"/>
    </row>
    <row r="33" spans="2:4" hidden="1" outlineLevel="2">
      <c r="B33" s="11" t="s">
        <v>128</v>
      </c>
      <c r="C33" s="23"/>
      <c r="D33" s="23"/>
    </row>
    <row r="34" spans="2:4" outlineLevel="1">
      <c r="B34" t="s">
        <v>155</v>
      </c>
      <c r="C34" s="23"/>
      <c r="D34" s="23"/>
    </row>
    <row r="35" spans="2:4" outlineLevel="1" collapsed="1">
      <c r="B35" t="s">
        <v>157</v>
      </c>
      <c r="C35" s="23"/>
      <c r="D35" s="23"/>
    </row>
    <row r="36" spans="2:4" hidden="1" outlineLevel="2">
      <c r="B36" s="3" t="s">
        <v>117</v>
      </c>
      <c r="C36" s="23"/>
      <c r="D36" s="23"/>
    </row>
    <row r="37" spans="2:4" hidden="1" outlineLevel="2">
      <c r="B37" s="3" t="s">
        <v>121</v>
      </c>
      <c r="C37" s="23"/>
      <c r="D37" s="23"/>
    </row>
    <row r="38" spans="2:4" hidden="1" outlineLevel="2">
      <c r="B38" s="3" t="s">
        <v>118</v>
      </c>
      <c r="C38" s="23"/>
      <c r="D38" s="23"/>
    </row>
    <row r="39" spans="2:4" hidden="1" outlineLevel="2">
      <c r="B39" s="3" t="s">
        <v>119</v>
      </c>
      <c r="C39" s="23"/>
      <c r="D39" s="23"/>
    </row>
    <row r="40" spans="2:4" hidden="1" outlineLevel="2">
      <c r="B40" s="3" t="s">
        <v>120</v>
      </c>
      <c r="C40" s="23"/>
      <c r="D40" s="23"/>
    </row>
    <row r="41" spans="2:4" hidden="1" outlineLevel="2">
      <c r="B41" s="3" t="s">
        <v>122</v>
      </c>
      <c r="C41" s="23"/>
      <c r="D41" s="23"/>
    </row>
    <row r="42" spans="2:4" outlineLevel="1">
      <c r="B42" t="s">
        <v>32</v>
      </c>
      <c r="C42" s="23"/>
      <c r="D42" s="23"/>
    </row>
    <row r="43" spans="2:4" outlineLevel="2">
      <c r="B43" s="3" t="s">
        <v>179</v>
      </c>
      <c r="C43" s="23"/>
      <c r="D43" s="23"/>
    </row>
    <row r="44" spans="2:4" outlineLevel="2">
      <c r="B44" s="11" t="s">
        <v>37</v>
      </c>
      <c r="C44" s="23"/>
      <c r="D44" s="23"/>
    </row>
    <row r="45" spans="2:4" outlineLevel="2">
      <c r="B45" s="11" t="s">
        <v>38</v>
      </c>
      <c r="C45" s="23"/>
      <c r="D45" s="23"/>
    </row>
    <row r="46" spans="2:4" outlineLevel="2">
      <c r="B46" s="11" t="s">
        <v>39</v>
      </c>
      <c r="C46" s="23"/>
      <c r="D46" s="23"/>
    </row>
    <row r="47" spans="2:4" outlineLevel="1">
      <c r="B47" s="15" t="s">
        <v>463</v>
      </c>
      <c r="C47" s="23"/>
      <c r="D47" s="23"/>
    </row>
    <row r="48" spans="2:4" outlineLevel="1">
      <c r="B48" s="15" t="s">
        <v>462</v>
      </c>
      <c r="C48" s="23"/>
      <c r="D48" s="23"/>
    </row>
    <row r="49" spans="2:4">
      <c r="B49" s="5" t="s">
        <v>40</v>
      </c>
      <c r="C49" s="30"/>
      <c r="D49" s="30"/>
    </row>
    <row r="50" spans="2:4">
      <c r="B50" s="12" t="s">
        <v>41</v>
      </c>
      <c r="C50" s="23"/>
      <c r="D50" s="23"/>
    </row>
    <row r="51" spans="2:4">
      <c r="B51" s="4"/>
      <c r="C51" s="23"/>
      <c r="D51" s="23"/>
    </row>
    <row r="52" spans="2:4">
      <c r="B52" s="5" t="s">
        <v>42</v>
      </c>
      <c r="C52" s="30"/>
      <c r="D52" s="23"/>
    </row>
    <row r="53" spans="2:4" outlineLevel="1">
      <c r="B53" s="12" t="s">
        <v>44</v>
      </c>
      <c r="C53" s="23"/>
      <c r="D53" s="23"/>
    </row>
    <row r="54" spans="2:4" outlineLevel="1">
      <c r="B54" s="4" t="s">
        <v>278</v>
      </c>
      <c r="C54" s="31"/>
      <c r="D54" s="23"/>
    </row>
    <row r="55" spans="2:4" outlineLevel="1">
      <c r="B55" s="4" t="s">
        <v>279</v>
      </c>
      <c r="C55" s="31"/>
      <c r="D55" s="23"/>
    </row>
    <row r="56" spans="2:4" outlineLevel="1">
      <c r="B56" s="12" t="s">
        <v>45</v>
      </c>
      <c r="C56" s="23"/>
      <c r="D56" s="23"/>
    </row>
    <row r="57" spans="2:4" outlineLevel="1">
      <c r="B57" s="12" t="s">
        <v>46</v>
      </c>
      <c r="C57" s="23"/>
      <c r="D57" s="23"/>
    </row>
    <row r="58" spans="2:4">
      <c r="B58" s="5" t="s">
        <v>47</v>
      </c>
      <c r="C58" s="30"/>
      <c r="D58" s="30"/>
    </row>
    <row r="59" spans="2:4">
      <c r="B59" s="4"/>
      <c r="C59" s="23"/>
      <c r="D59" s="23"/>
    </row>
    <row r="60" spans="2:4" collapsed="1">
      <c r="B60" s="16" t="s">
        <v>48</v>
      </c>
      <c r="C60" s="23"/>
      <c r="D60" s="23"/>
    </row>
    <row r="61" spans="2:4" hidden="1" outlineLevel="1">
      <c r="B61" s="12" t="s">
        <v>16</v>
      </c>
      <c r="C61" s="23"/>
      <c r="D61" s="23"/>
    </row>
    <row r="62" spans="2:4" hidden="1" outlineLevel="1">
      <c r="B62" s="12" t="s">
        <v>49</v>
      </c>
      <c r="C62" s="23"/>
      <c r="D62" s="23"/>
    </row>
    <row r="63" spans="2:4" hidden="1" outlineLevel="1">
      <c r="B63" s="12" t="s">
        <v>44</v>
      </c>
      <c r="C63" s="23"/>
      <c r="D63" s="23"/>
    </row>
    <row r="64" spans="2:4">
      <c r="B64" s="16" t="s">
        <v>50</v>
      </c>
      <c r="C64" s="23"/>
      <c r="D64" s="23"/>
    </row>
    <row r="65" spans="2:4">
      <c r="B65" s="16" t="s">
        <v>231</v>
      </c>
      <c r="C65" s="30"/>
      <c r="D65" s="30"/>
    </row>
    <row r="66" spans="2:4">
      <c r="B66" s="1" t="s">
        <v>225</v>
      </c>
      <c r="C66" s="30"/>
      <c r="D66" s="30"/>
    </row>
    <row r="67" spans="2:4">
      <c r="C67" s="23"/>
      <c r="D67" s="23"/>
    </row>
    <row r="68" spans="2:4">
      <c r="B68" s="12" t="s">
        <v>51</v>
      </c>
      <c r="C68" s="23"/>
      <c r="D68" s="23"/>
    </row>
    <row r="69" spans="2:4">
      <c r="B69" s="5" t="s">
        <v>230</v>
      </c>
      <c r="C69" s="30"/>
      <c r="D69" s="30"/>
    </row>
    <row r="70" spans="2:4">
      <c r="D70" s="23"/>
    </row>
    <row r="71" spans="2:4" ht="15">
      <c r="B71" s="25" t="s">
        <v>224</v>
      </c>
      <c r="C71" s="24"/>
      <c r="D71" s="24"/>
    </row>
    <row r="72" spans="2:4">
      <c r="D72" s="23"/>
    </row>
    <row r="73" spans="2:4">
      <c r="B73" s="1" t="s">
        <v>19</v>
      </c>
      <c r="C73" s="24"/>
      <c r="D73" s="24"/>
    </row>
  </sheetData>
  <phoneticPr fontId="0" type="noConversion"/>
  <printOptions headings="1" gridLines="1"/>
  <pageMargins left="0.78740157499999996" right="0.78740157499999996" top="0.17" bottom="0.2" header="0.14000000000000001" footer="0.13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  <pageSetUpPr fitToPage="1"/>
  </sheetPr>
  <dimension ref="A1:I44"/>
  <sheetViews>
    <sheetView workbookViewId="0">
      <selection activeCell="F44" sqref="E4:F44"/>
    </sheetView>
  </sheetViews>
  <sheetFormatPr baseColWidth="10" defaultRowHeight="12" outlineLevelRow="2" x14ac:dyDescent="0"/>
  <cols>
    <col min="1" max="1" width="5.33203125" bestFit="1" customWidth="1"/>
    <col min="2" max="2" width="98.83203125" bestFit="1" customWidth="1"/>
    <col min="3" max="3" width="14.33203125" bestFit="1" customWidth="1"/>
    <col min="4" max="4" width="14.5" style="20" bestFit="1" customWidth="1"/>
    <col min="5" max="5" width="14.33203125" bestFit="1" customWidth="1"/>
    <col min="6" max="6" width="14.5" style="20" bestFit="1" customWidth="1"/>
  </cols>
  <sheetData>
    <row r="1" spans="1:6">
      <c r="A1" s="208" t="s">
        <v>34</v>
      </c>
      <c r="B1" s="217" t="s">
        <v>90</v>
      </c>
      <c r="C1" s="501" t="s">
        <v>20</v>
      </c>
      <c r="D1" s="501"/>
      <c r="E1" s="501" t="s">
        <v>431</v>
      </c>
      <c r="F1" s="502"/>
    </row>
    <row r="2" spans="1:6" ht="26.25" customHeight="1">
      <c r="A2" s="158"/>
      <c r="B2" s="218"/>
      <c r="C2" s="219" t="s">
        <v>477</v>
      </c>
      <c r="D2" s="219" t="s">
        <v>478</v>
      </c>
      <c r="E2" s="219" t="s">
        <v>477</v>
      </c>
      <c r="F2" s="229" t="s">
        <v>478</v>
      </c>
    </row>
    <row r="3" spans="1:6">
      <c r="A3" s="158"/>
      <c r="B3" s="220" t="s">
        <v>100</v>
      </c>
      <c r="C3" s="162"/>
      <c r="D3" s="162"/>
      <c r="E3" s="162"/>
      <c r="F3" s="173"/>
    </row>
    <row r="4" spans="1:6" outlineLevel="1">
      <c r="A4" s="158"/>
      <c r="B4" s="162" t="s">
        <v>235</v>
      </c>
      <c r="C4" s="221"/>
      <c r="D4" s="221"/>
      <c r="E4" s="221"/>
      <c r="F4" s="173"/>
    </row>
    <row r="5" spans="1:6" outlineLevel="1">
      <c r="A5" s="158"/>
      <c r="B5" s="162" t="s">
        <v>91</v>
      </c>
      <c r="C5" s="222"/>
      <c r="D5" s="222"/>
      <c r="E5" s="162"/>
      <c r="F5" s="173"/>
    </row>
    <row r="6" spans="1:6" outlineLevel="1">
      <c r="A6" s="158"/>
      <c r="B6" s="223" t="s">
        <v>92</v>
      </c>
      <c r="C6" s="222"/>
      <c r="D6" s="222"/>
      <c r="E6" s="162"/>
      <c r="F6" s="173"/>
    </row>
    <row r="7" spans="1:6" outlineLevel="1">
      <c r="A7" s="158"/>
      <c r="B7" s="162" t="s">
        <v>93</v>
      </c>
      <c r="C7" s="222"/>
      <c r="D7" s="222"/>
      <c r="E7" s="221"/>
      <c r="F7" s="230"/>
    </row>
    <row r="8" spans="1:6" outlineLevel="2">
      <c r="A8" s="158"/>
      <c r="B8" s="224" t="s">
        <v>482</v>
      </c>
      <c r="C8" s="222"/>
      <c r="D8" s="222"/>
      <c r="E8" s="225"/>
      <c r="F8" s="230"/>
    </row>
    <row r="9" spans="1:6" outlineLevel="2">
      <c r="A9" s="158"/>
      <c r="B9" s="224" t="s">
        <v>94</v>
      </c>
      <c r="C9" s="222"/>
      <c r="D9" s="222"/>
      <c r="E9" s="162"/>
      <c r="F9" s="173"/>
    </row>
    <row r="10" spans="1:6" outlineLevel="2">
      <c r="A10" s="158"/>
      <c r="B10" s="224" t="s">
        <v>95</v>
      </c>
      <c r="C10" s="222"/>
      <c r="D10" s="222"/>
      <c r="E10" s="162"/>
      <c r="F10" s="173"/>
    </row>
    <row r="11" spans="1:6" outlineLevel="2">
      <c r="A11" s="158"/>
      <c r="B11" s="224" t="s">
        <v>96</v>
      </c>
      <c r="C11" s="222"/>
      <c r="D11" s="222"/>
      <c r="E11" s="162"/>
      <c r="F11" s="230"/>
    </row>
    <row r="12" spans="1:6" outlineLevel="1">
      <c r="A12" s="158"/>
      <c r="B12" s="162" t="s">
        <v>97</v>
      </c>
      <c r="C12" s="221"/>
      <c r="D12" s="221"/>
      <c r="E12" s="221"/>
      <c r="F12" s="173"/>
    </row>
    <row r="13" spans="1:6" outlineLevel="1">
      <c r="A13" s="158"/>
      <c r="B13" s="226" t="s">
        <v>481</v>
      </c>
      <c r="C13" s="222"/>
      <c r="D13" s="222"/>
      <c r="E13" s="221"/>
      <c r="F13" s="173"/>
    </row>
    <row r="14" spans="1:6" outlineLevel="1">
      <c r="A14" s="158"/>
      <c r="B14" s="162" t="s">
        <v>480</v>
      </c>
      <c r="C14" s="222"/>
      <c r="D14" s="222"/>
      <c r="E14" s="162"/>
      <c r="F14" s="230"/>
    </row>
    <row r="15" spans="1:6" outlineLevel="1">
      <c r="A15" s="158"/>
      <c r="B15" s="223" t="s">
        <v>98</v>
      </c>
      <c r="C15" s="222"/>
      <c r="D15" s="222"/>
      <c r="E15" s="162"/>
      <c r="F15" s="173"/>
    </row>
    <row r="16" spans="1:6" outlineLevel="1">
      <c r="A16" s="158"/>
      <c r="B16" s="223" t="s">
        <v>99</v>
      </c>
      <c r="C16" s="222"/>
      <c r="D16" s="222"/>
      <c r="E16" s="162"/>
      <c r="F16" s="173"/>
    </row>
    <row r="17" spans="1:6">
      <c r="A17" s="158"/>
      <c r="B17" s="220" t="s">
        <v>101</v>
      </c>
      <c r="C17" s="162"/>
      <c r="D17" s="221"/>
      <c r="E17" s="162"/>
      <c r="F17" s="231"/>
    </row>
    <row r="18" spans="1:6">
      <c r="A18" s="158"/>
      <c r="B18" s="162"/>
      <c r="C18" s="222"/>
      <c r="D18" s="222"/>
      <c r="E18" s="162"/>
      <c r="F18" s="173"/>
    </row>
    <row r="19" spans="1:6">
      <c r="A19" s="158"/>
      <c r="B19" s="227" t="s">
        <v>102</v>
      </c>
      <c r="C19" s="222"/>
      <c r="D19" s="222"/>
      <c r="E19" s="162"/>
      <c r="F19" s="173"/>
    </row>
    <row r="20" spans="1:6" outlineLevel="1">
      <c r="A20" s="158"/>
      <c r="B20" s="223" t="s">
        <v>103</v>
      </c>
      <c r="C20" s="222"/>
      <c r="D20" s="222"/>
      <c r="E20" s="162"/>
      <c r="F20" s="173"/>
    </row>
    <row r="21" spans="1:6" outlineLevel="1">
      <c r="A21" s="158"/>
      <c r="B21" s="228" t="s">
        <v>104</v>
      </c>
      <c r="C21" s="222"/>
      <c r="D21" s="222"/>
      <c r="E21" s="162"/>
      <c r="F21" s="173"/>
    </row>
    <row r="22" spans="1:6">
      <c r="A22" s="158"/>
      <c r="B22" s="227" t="s">
        <v>112</v>
      </c>
      <c r="C22" s="221"/>
      <c r="D22" s="221"/>
      <c r="E22" s="162"/>
      <c r="F22" s="173"/>
    </row>
    <row r="23" spans="1:6">
      <c r="A23" s="158"/>
      <c r="B23" s="162"/>
      <c r="C23" s="222"/>
      <c r="D23" s="222"/>
      <c r="E23" s="162"/>
      <c r="F23" s="173"/>
    </row>
    <row r="24" spans="1:6">
      <c r="A24" s="158"/>
      <c r="B24" s="220" t="s">
        <v>105</v>
      </c>
      <c r="C24" s="222"/>
      <c r="D24" s="222"/>
      <c r="E24" s="162"/>
      <c r="F24" s="173"/>
    </row>
    <row r="25" spans="1:6" outlineLevel="1">
      <c r="A25" s="158"/>
      <c r="B25" s="223" t="s">
        <v>106</v>
      </c>
      <c r="C25" s="222"/>
      <c r="D25" s="222"/>
      <c r="E25" s="162"/>
      <c r="F25" s="173"/>
    </row>
    <row r="26" spans="1:6" outlineLevel="1">
      <c r="A26" s="158"/>
      <c r="B26" s="223" t="s">
        <v>107</v>
      </c>
      <c r="C26" s="222"/>
      <c r="D26" s="222"/>
      <c r="E26" s="162"/>
      <c r="F26" s="173"/>
    </row>
    <row r="27" spans="1:6" outlineLevel="1">
      <c r="A27" s="158"/>
      <c r="B27" s="162" t="s">
        <v>357</v>
      </c>
      <c r="C27" s="222"/>
      <c r="D27" s="222"/>
      <c r="E27" s="222"/>
      <c r="F27" s="173"/>
    </row>
    <row r="28" spans="1:6" outlineLevel="1">
      <c r="A28" s="158"/>
      <c r="B28" s="162" t="s">
        <v>108</v>
      </c>
      <c r="C28" s="222"/>
      <c r="D28" s="222"/>
      <c r="E28" s="235"/>
      <c r="F28" s="173"/>
    </row>
    <row r="29" spans="1:6" outlineLevel="1">
      <c r="A29" s="158"/>
      <c r="B29" s="162" t="s">
        <v>532</v>
      </c>
      <c r="C29" s="222"/>
      <c r="D29" s="222"/>
      <c r="E29" s="235"/>
      <c r="F29" s="173"/>
    </row>
    <row r="30" spans="1:6" outlineLevel="1">
      <c r="A30" s="158"/>
      <c r="B30" s="226" t="s">
        <v>234</v>
      </c>
      <c r="C30" s="222"/>
      <c r="D30" s="222"/>
      <c r="E30" s="222"/>
      <c r="F30" s="173"/>
    </row>
    <row r="31" spans="1:6" outlineLevel="1">
      <c r="A31" s="158"/>
      <c r="B31" s="162" t="s">
        <v>574</v>
      </c>
      <c r="C31" s="222"/>
      <c r="D31" s="222"/>
      <c r="E31" s="222"/>
      <c r="F31" s="173"/>
    </row>
    <row r="32" spans="1:6" outlineLevel="1">
      <c r="A32" s="158"/>
      <c r="B32" s="162" t="s">
        <v>229</v>
      </c>
      <c r="C32" s="222"/>
      <c r="D32" s="222"/>
      <c r="E32" s="222"/>
      <c r="F32" s="173"/>
    </row>
    <row r="33" spans="1:9" outlineLevel="1">
      <c r="A33" s="158"/>
      <c r="B33" s="162" t="s">
        <v>109</v>
      </c>
      <c r="C33" s="222"/>
      <c r="D33" s="222"/>
      <c r="E33" s="222"/>
      <c r="F33" s="173"/>
      <c r="I33" s="22"/>
    </row>
    <row r="34" spans="1:9" outlineLevel="1">
      <c r="A34" s="158"/>
      <c r="B34" s="226" t="s">
        <v>573</v>
      </c>
      <c r="C34" s="222"/>
      <c r="D34" s="222"/>
      <c r="E34" s="222"/>
      <c r="F34" s="173"/>
    </row>
    <row r="35" spans="1:9" outlineLevel="1">
      <c r="A35" s="158"/>
      <c r="B35" s="226" t="s">
        <v>479</v>
      </c>
      <c r="C35" s="222"/>
      <c r="D35" s="221"/>
      <c r="E35" s="222"/>
      <c r="F35" s="231"/>
    </row>
    <row r="36" spans="1:9" outlineLevel="1">
      <c r="A36" s="158"/>
      <c r="B36" s="220" t="s">
        <v>310</v>
      </c>
      <c r="C36" s="222"/>
      <c r="D36" s="222"/>
      <c r="E36" s="222"/>
      <c r="F36" s="173"/>
    </row>
    <row r="37" spans="1:9">
      <c r="A37" s="158"/>
      <c r="B37" s="220" t="s">
        <v>113</v>
      </c>
      <c r="C37" s="162"/>
      <c r="D37" s="221"/>
      <c r="E37" s="162"/>
      <c r="F37" s="231"/>
    </row>
    <row r="38" spans="1:9">
      <c r="A38" s="158"/>
      <c r="B38" s="162"/>
      <c r="C38" s="222"/>
      <c r="D38" s="222"/>
      <c r="E38" s="162"/>
      <c r="F38" s="173"/>
    </row>
    <row r="39" spans="1:9" collapsed="1">
      <c r="A39" s="158"/>
      <c r="B39" s="227" t="s">
        <v>85</v>
      </c>
      <c r="C39" s="222"/>
      <c r="D39" s="222"/>
      <c r="E39" s="162"/>
      <c r="F39" s="173"/>
    </row>
    <row r="40" spans="1:9" hidden="1" outlineLevel="1">
      <c r="A40" s="158"/>
      <c r="B40" s="223" t="s">
        <v>110</v>
      </c>
      <c r="C40" s="222"/>
      <c r="D40" s="222"/>
      <c r="E40" s="162"/>
      <c r="F40" s="173"/>
    </row>
    <row r="41" spans="1:9" hidden="1" outlineLevel="1">
      <c r="A41" s="158"/>
      <c r="B41" s="223" t="s">
        <v>111</v>
      </c>
      <c r="C41" s="222"/>
      <c r="D41" s="222"/>
      <c r="E41" s="162"/>
      <c r="F41" s="173"/>
    </row>
    <row r="42" spans="1:9">
      <c r="A42" s="158"/>
      <c r="B42" s="227" t="s">
        <v>89</v>
      </c>
      <c r="C42" s="225"/>
      <c r="D42" s="221"/>
      <c r="E42" s="235"/>
      <c r="F42" s="173"/>
    </row>
    <row r="43" spans="1:9">
      <c r="A43" s="158"/>
      <c r="B43" s="162"/>
      <c r="C43" s="222"/>
      <c r="D43" s="222"/>
      <c r="E43" s="162"/>
      <c r="F43" s="173"/>
    </row>
    <row r="44" spans="1:9" ht="13" thickBot="1">
      <c r="A44" s="159"/>
      <c r="B44" s="232" t="s">
        <v>114</v>
      </c>
      <c r="C44" s="214"/>
      <c r="D44" s="233"/>
      <c r="E44" s="214"/>
      <c r="F44" s="234"/>
    </row>
  </sheetData>
  <mergeCells count="2">
    <mergeCell ref="C1:D1"/>
    <mergeCell ref="E1:F1"/>
  </mergeCells>
  <phoneticPr fontId="0" type="noConversion"/>
  <printOptions headings="1" gridLines="1"/>
  <pageMargins left="0.78740157499999996" right="0.78740157499999996" top="0.32" bottom="0.25" header="0.25" footer="0.1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/>
    <pageSetUpPr fitToPage="1"/>
  </sheetPr>
  <dimension ref="A1:K56"/>
  <sheetViews>
    <sheetView workbookViewId="0">
      <selection activeCell="C3" sqref="C3:H51"/>
    </sheetView>
  </sheetViews>
  <sheetFormatPr baseColWidth="10" defaultRowHeight="12" outlineLevelRow="1" x14ac:dyDescent="0"/>
  <cols>
    <col min="1" max="1" width="5.33203125" bestFit="1" customWidth="1"/>
    <col min="2" max="2" width="80.83203125" bestFit="1" customWidth="1"/>
    <col min="3" max="4" width="9.1640625" bestFit="1" customWidth="1"/>
    <col min="5" max="5" width="10.1640625" bestFit="1" customWidth="1"/>
    <col min="6" max="6" width="10.1640625" customWidth="1"/>
    <col min="7" max="7" width="9.6640625" bestFit="1" customWidth="1"/>
  </cols>
  <sheetData>
    <row r="1" spans="1:8">
      <c r="A1" t="s">
        <v>34</v>
      </c>
      <c r="B1" s="161" t="s">
        <v>52</v>
      </c>
      <c r="C1" s="501" t="s">
        <v>20</v>
      </c>
      <c r="D1" s="501"/>
      <c r="E1" s="501"/>
      <c r="F1" s="501" t="s">
        <v>431</v>
      </c>
      <c r="G1" s="501"/>
      <c r="H1" s="502"/>
    </row>
    <row r="2" spans="1:8" ht="24">
      <c r="B2" s="237"/>
      <c r="C2" s="219" t="s">
        <v>539</v>
      </c>
      <c r="D2" s="219" t="s">
        <v>116</v>
      </c>
      <c r="E2" s="219" t="s">
        <v>455</v>
      </c>
      <c r="F2" s="219" t="s">
        <v>540</v>
      </c>
      <c r="G2" s="219" t="s">
        <v>116</v>
      </c>
      <c r="H2" s="229" t="s">
        <v>456</v>
      </c>
    </row>
    <row r="3" spans="1:8">
      <c r="B3" s="238" t="s">
        <v>86</v>
      </c>
      <c r="C3" s="162"/>
      <c r="D3" s="162"/>
      <c r="E3" s="236"/>
      <c r="F3" s="220"/>
      <c r="G3" s="162"/>
      <c r="H3" s="244"/>
    </row>
    <row r="4" spans="1:8">
      <c r="B4" s="238" t="s">
        <v>83</v>
      </c>
      <c r="C4" s="162"/>
      <c r="D4" s="162"/>
      <c r="E4" s="162"/>
      <c r="F4" s="162"/>
      <c r="G4" s="162"/>
      <c r="H4" s="173"/>
    </row>
    <row r="5" spans="1:8">
      <c r="B5" s="238" t="s">
        <v>53</v>
      </c>
      <c r="C5" s="221"/>
      <c r="D5" s="221"/>
      <c r="E5" s="221"/>
      <c r="F5" s="221"/>
      <c r="G5" s="221"/>
      <c r="H5" s="231"/>
    </row>
    <row r="6" spans="1:8" outlineLevel="1">
      <c r="B6" s="158" t="s">
        <v>54</v>
      </c>
      <c r="C6" s="222"/>
      <c r="D6" s="222"/>
      <c r="E6" s="222"/>
      <c r="F6" s="222"/>
      <c r="G6" s="235"/>
      <c r="H6" s="239"/>
    </row>
    <row r="7" spans="1:8" outlineLevel="1">
      <c r="B7" s="240" t="s">
        <v>55</v>
      </c>
      <c r="C7" s="222"/>
      <c r="D7" s="222"/>
      <c r="E7" s="222"/>
      <c r="F7" s="222"/>
      <c r="G7" s="235"/>
      <c r="H7" s="239"/>
    </row>
    <row r="8" spans="1:8" outlineLevel="1">
      <c r="B8" s="241" t="s">
        <v>56</v>
      </c>
      <c r="C8" s="222"/>
      <c r="D8" s="222"/>
      <c r="E8" s="222"/>
      <c r="F8" s="222"/>
      <c r="G8" s="162"/>
      <c r="H8" s="173"/>
    </row>
    <row r="9" spans="1:8" outlineLevel="1">
      <c r="B9" s="241" t="s">
        <v>57</v>
      </c>
      <c r="C9" s="222"/>
      <c r="D9" s="222"/>
      <c r="E9" s="222"/>
      <c r="F9" s="222"/>
      <c r="G9" s="162"/>
      <c r="H9" s="173"/>
    </row>
    <row r="10" spans="1:8" outlineLevel="1">
      <c r="B10" s="241" t="s">
        <v>58</v>
      </c>
      <c r="C10" s="222"/>
      <c r="D10" s="222"/>
      <c r="E10" s="222"/>
      <c r="F10" s="222"/>
      <c r="G10" s="162"/>
      <c r="H10" s="173"/>
    </row>
    <row r="11" spans="1:8" outlineLevel="1">
      <c r="B11" s="241" t="s">
        <v>59</v>
      </c>
      <c r="C11" s="222"/>
      <c r="D11" s="222"/>
      <c r="E11" s="222"/>
      <c r="F11" s="222"/>
      <c r="G11" s="162"/>
      <c r="H11" s="173"/>
    </row>
    <row r="12" spans="1:8">
      <c r="B12" s="238" t="s">
        <v>60</v>
      </c>
      <c r="C12" s="221"/>
      <c r="D12" s="221"/>
      <c r="E12" s="221"/>
      <c r="F12" s="162"/>
      <c r="G12" s="221"/>
      <c r="H12" s="231"/>
    </row>
    <row r="13" spans="1:8" outlineLevel="1">
      <c r="B13" s="241" t="s">
        <v>61</v>
      </c>
      <c r="C13" s="222"/>
      <c r="D13" s="222"/>
      <c r="E13" s="222"/>
      <c r="F13" s="222"/>
      <c r="G13" s="162"/>
      <c r="H13" s="173"/>
    </row>
    <row r="14" spans="1:8" outlineLevel="1">
      <c r="B14" s="241" t="s">
        <v>62</v>
      </c>
      <c r="C14" s="222"/>
      <c r="D14" s="222"/>
      <c r="E14" s="222"/>
      <c r="F14" s="222"/>
      <c r="G14" s="162"/>
      <c r="H14" s="173"/>
    </row>
    <row r="15" spans="1:8" outlineLevel="1">
      <c r="B15" s="158" t="s">
        <v>508</v>
      </c>
      <c r="C15" s="222"/>
      <c r="D15" s="222"/>
      <c r="E15" s="222"/>
      <c r="F15" s="225"/>
      <c r="G15" s="225"/>
      <c r="H15" s="230"/>
    </row>
    <row r="16" spans="1:8" outlineLevel="1">
      <c r="B16" s="241" t="s">
        <v>58</v>
      </c>
      <c r="C16" s="222"/>
      <c r="D16" s="222"/>
      <c r="E16" s="222"/>
      <c r="F16" s="222"/>
      <c r="G16" s="162"/>
      <c r="H16" s="173"/>
    </row>
    <row r="17" spans="2:10" outlineLevel="1">
      <c r="B17" s="241" t="s">
        <v>63</v>
      </c>
      <c r="C17" s="222"/>
      <c r="D17" s="222"/>
      <c r="E17" s="222"/>
      <c r="F17" s="222"/>
      <c r="G17" s="162"/>
      <c r="H17" s="173"/>
    </row>
    <row r="18" spans="2:10" outlineLevel="1">
      <c r="B18" s="241" t="s">
        <v>59</v>
      </c>
      <c r="C18" s="222"/>
      <c r="D18" s="222"/>
      <c r="E18" s="222"/>
      <c r="F18" s="222"/>
      <c r="G18" s="162"/>
      <c r="H18" s="173"/>
    </row>
    <row r="19" spans="2:10">
      <c r="B19" s="242" t="s">
        <v>64</v>
      </c>
      <c r="C19" s="221"/>
      <c r="D19" s="221"/>
      <c r="E19" s="221"/>
      <c r="F19" s="221"/>
      <c r="G19" s="221"/>
      <c r="H19" s="221"/>
    </row>
    <row r="20" spans="2:10" outlineLevel="1">
      <c r="B20" s="241" t="s">
        <v>65</v>
      </c>
      <c r="C20" s="222"/>
      <c r="D20" s="222"/>
      <c r="E20" s="222"/>
      <c r="F20" s="222"/>
      <c r="G20" s="162"/>
      <c r="H20" s="173"/>
    </row>
    <row r="21" spans="2:10" outlineLevel="1">
      <c r="B21" s="241" t="s">
        <v>66</v>
      </c>
      <c r="C21" s="222"/>
      <c r="D21" s="222"/>
      <c r="E21" s="222"/>
      <c r="F21" s="222"/>
      <c r="G21" s="162"/>
      <c r="H21" s="173"/>
    </row>
    <row r="22" spans="2:10" outlineLevel="1">
      <c r="B22" s="241" t="s">
        <v>67</v>
      </c>
      <c r="C22" s="222"/>
      <c r="D22" s="222"/>
      <c r="E22" s="222"/>
      <c r="F22" s="222"/>
      <c r="G22" s="162"/>
      <c r="H22" s="173"/>
    </row>
    <row r="23" spans="2:10" outlineLevel="1">
      <c r="B23" s="241" t="s">
        <v>68</v>
      </c>
      <c r="C23" s="222"/>
      <c r="D23" s="222"/>
      <c r="E23" s="222"/>
      <c r="F23" s="222"/>
      <c r="G23" s="162"/>
      <c r="H23" s="173"/>
    </row>
    <row r="24" spans="2:10" outlineLevel="1">
      <c r="B24" s="241" t="s">
        <v>58</v>
      </c>
      <c r="C24" s="222"/>
      <c r="D24" s="222"/>
      <c r="E24" s="222"/>
      <c r="F24" s="222"/>
      <c r="G24" s="162"/>
      <c r="H24" s="173"/>
    </row>
    <row r="25" spans="2:10">
      <c r="B25" s="238" t="s">
        <v>87</v>
      </c>
      <c r="C25" s="221"/>
      <c r="D25" s="221"/>
      <c r="E25" s="221"/>
      <c r="F25" s="221"/>
      <c r="G25" s="221"/>
      <c r="H25" s="231"/>
    </row>
    <row r="26" spans="2:10">
      <c r="B26" s="238"/>
      <c r="C26" s="222"/>
      <c r="D26" s="222"/>
      <c r="E26" s="222"/>
      <c r="F26" s="222"/>
      <c r="G26" s="162"/>
      <c r="H26" s="173"/>
    </row>
    <row r="27" spans="2:10">
      <c r="B27" s="238" t="s">
        <v>84</v>
      </c>
      <c r="C27" s="222"/>
      <c r="D27" s="222"/>
      <c r="E27" s="222"/>
      <c r="F27" s="222"/>
      <c r="G27" s="162"/>
      <c r="H27" s="173"/>
    </row>
    <row r="28" spans="2:10">
      <c r="B28" s="238" t="s">
        <v>69</v>
      </c>
      <c r="C28" s="222"/>
      <c r="D28" s="222"/>
      <c r="E28" s="221"/>
      <c r="F28" s="221"/>
      <c r="G28" s="162"/>
      <c r="H28" s="231"/>
    </row>
    <row r="29" spans="2:10" outlineLevel="1">
      <c r="B29" s="241" t="s">
        <v>70</v>
      </c>
      <c r="C29" s="222"/>
      <c r="D29" s="222"/>
      <c r="E29" s="222"/>
      <c r="F29" s="222"/>
      <c r="G29" s="162"/>
      <c r="H29" s="243"/>
      <c r="J29" s="23"/>
    </row>
    <row r="30" spans="2:10" outlineLevel="1">
      <c r="B30" s="158" t="s">
        <v>227</v>
      </c>
      <c r="C30" s="222"/>
      <c r="D30" s="222"/>
      <c r="E30" s="221"/>
      <c r="F30" s="221"/>
      <c r="G30" s="162"/>
      <c r="H30" s="231"/>
    </row>
    <row r="31" spans="2:10" outlineLevel="1">
      <c r="B31" s="241" t="s">
        <v>71</v>
      </c>
      <c r="C31" s="222"/>
      <c r="D31" s="222"/>
      <c r="E31" s="222"/>
      <c r="F31" s="222"/>
      <c r="G31" s="162"/>
      <c r="H31" s="173"/>
    </row>
    <row r="32" spans="2:10" outlineLevel="1">
      <c r="B32" s="241" t="s">
        <v>72</v>
      </c>
      <c r="C32" s="222"/>
      <c r="D32" s="222"/>
      <c r="E32" s="222"/>
      <c r="F32" s="222"/>
      <c r="G32" s="162"/>
      <c r="H32" s="173"/>
    </row>
    <row r="33" spans="2:11">
      <c r="B33" s="238" t="s">
        <v>533</v>
      </c>
      <c r="C33" s="222"/>
      <c r="D33" s="222"/>
      <c r="E33" s="221"/>
      <c r="F33" s="221"/>
      <c r="G33" s="162"/>
      <c r="H33" s="244"/>
    </row>
    <row r="34" spans="2:11">
      <c r="B34" s="238" t="s">
        <v>73</v>
      </c>
      <c r="C34" s="222"/>
      <c r="D34" s="222"/>
      <c r="E34" s="221"/>
      <c r="F34" s="221"/>
      <c r="G34" s="162"/>
      <c r="H34" s="231"/>
    </row>
    <row r="35" spans="2:11" outlineLevel="1">
      <c r="B35" s="158" t="s">
        <v>74</v>
      </c>
      <c r="C35" s="222"/>
      <c r="D35" s="222"/>
      <c r="E35" s="222"/>
      <c r="F35" s="222"/>
      <c r="G35" s="162"/>
      <c r="H35" s="230"/>
    </row>
    <row r="36" spans="2:11" outlineLevel="1">
      <c r="B36" s="240" t="s">
        <v>512</v>
      </c>
      <c r="C36" s="222"/>
      <c r="D36" s="222"/>
      <c r="E36" s="222"/>
      <c r="F36" s="222"/>
      <c r="G36" s="162"/>
      <c r="H36" s="230"/>
    </row>
    <row r="37" spans="2:11" outlineLevel="1">
      <c r="B37" s="241" t="s">
        <v>75</v>
      </c>
      <c r="C37" s="222"/>
      <c r="D37" s="222"/>
      <c r="E37" s="222"/>
      <c r="F37" s="222"/>
      <c r="G37" s="162"/>
      <c r="H37" s="173"/>
    </row>
    <row r="38" spans="2:11">
      <c r="B38" s="242" t="s">
        <v>76</v>
      </c>
      <c r="C38" s="222"/>
      <c r="D38" s="222"/>
      <c r="E38" s="221"/>
      <c r="F38" s="221"/>
      <c r="G38" s="162"/>
      <c r="H38" s="244"/>
    </row>
    <row r="39" spans="2:11" outlineLevel="1">
      <c r="B39" s="241" t="s">
        <v>77</v>
      </c>
      <c r="C39" s="222"/>
      <c r="D39" s="222"/>
      <c r="E39" s="222"/>
      <c r="F39" s="222"/>
      <c r="G39" s="162"/>
      <c r="H39" s="173"/>
    </row>
    <row r="40" spans="2:11" outlineLevel="1">
      <c r="B40" s="241" t="s">
        <v>78</v>
      </c>
      <c r="C40" s="222"/>
      <c r="D40" s="222"/>
      <c r="E40" s="222"/>
      <c r="F40" s="222"/>
      <c r="G40" s="162"/>
      <c r="H40" s="173"/>
    </row>
    <row r="41" spans="2:11">
      <c r="B41" s="238" t="s">
        <v>309</v>
      </c>
      <c r="C41" s="222"/>
      <c r="D41" s="222"/>
      <c r="E41" s="221"/>
      <c r="F41" s="221"/>
      <c r="G41" s="162"/>
      <c r="H41" s="231"/>
    </row>
    <row r="42" spans="2:11">
      <c r="B42" s="238" t="s">
        <v>88</v>
      </c>
      <c r="C42" s="222"/>
      <c r="D42" s="222"/>
      <c r="E42" s="221"/>
      <c r="F42" s="221"/>
      <c r="G42" s="162"/>
      <c r="H42" s="231"/>
      <c r="I42" s="22"/>
    </row>
    <row r="43" spans="2:11">
      <c r="B43" s="238"/>
      <c r="C43" s="222"/>
      <c r="D43" s="222"/>
      <c r="E43" s="222"/>
      <c r="F43" s="222"/>
      <c r="G43" s="162"/>
      <c r="H43" s="173"/>
    </row>
    <row r="44" spans="2:11">
      <c r="B44" s="242" t="s">
        <v>85</v>
      </c>
      <c r="C44" s="222"/>
      <c r="D44" s="222"/>
      <c r="E44" s="221"/>
      <c r="F44" s="221"/>
      <c r="G44" s="162"/>
      <c r="H44" s="173"/>
    </row>
    <row r="45" spans="2:11" outlineLevel="1">
      <c r="B45" s="245" t="s">
        <v>79</v>
      </c>
      <c r="C45" s="222"/>
      <c r="D45" s="222"/>
      <c r="E45" s="222"/>
      <c r="F45" s="222"/>
      <c r="G45" s="162"/>
      <c r="H45" s="173"/>
    </row>
    <row r="46" spans="2:11" outlineLevel="1">
      <c r="B46" s="245" t="s">
        <v>80</v>
      </c>
      <c r="C46" s="222"/>
      <c r="D46" s="222"/>
      <c r="E46" s="222"/>
      <c r="F46" s="222"/>
      <c r="G46" s="162"/>
      <c r="H46" s="173"/>
      <c r="K46" s="22"/>
    </row>
    <row r="47" spans="2:11" outlineLevel="1">
      <c r="B47" s="245" t="s">
        <v>81</v>
      </c>
      <c r="C47" s="222"/>
      <c r="D47" s="222"/>
      <c r="E47" s="222"/>
      <c r="F47" s="222"/>
      <c r="G47" s="162"/>
      <c r="H47" s="173"/>
    </row>
    <row r="48" spans="2:11" outlineLevel="1">
      <c r="B48" s="245" t="s">
        <v>82</v>
      </c>
      <c r="C48" s="222"/>
      <c r="D48" s="222"/>
      <c r="E48" s="222"/>
      <c r="F48" s="222"/>
      <c r="G48" s="162"/>
      <c r="H48" s="173"/>
    </row>
    <row r="49" spans="2:10">
      <c r="B49" s="242" t="s">
        <v>89</v>
      </c>
      <c r="C49" s="222"/>
      <c r="D49" s="222"/>
      <c r="E49" s="221"/>
      <c r="F49" s="221"/>
      <c r="G49" s="162"/>
      <c r="H49" s="231"/>
    </row>
    <row r="50" spans="2:10">
      <c r="B50" s="158"/>
      <c r="C50" s="222"/>
      <c r="D50" s="222"/>
      <c r="E50" s="222"/>
      <c r="F50" s="222"/>
      <c r="G50" s="162"/>
      <c r="H50" s="173"/>
      <c r="I50" s="22"/>
    </row>
    <row r="51" spans="2:10" ht="13" thickBot="1">
      <c r="B51" s="246" t="s">
        <v>115</v>
      </c>
      <c r="C51" s="247"/>
      <c r="D51" s="247"/>
      <c r="E51" s="233"/>
      <c r="F51" s="233"/>
      <c r="G51" s="247"/>
      <c r="H51" s="234"/>
      <c r="J51" s="23"/>
    </row>
    <row r="53" spans="2:10">
      <c r="I53" s="22"/>
    </row>
    <row r="54" spans="2:10">
      <c r="G54" s="22"/>
      <c r="J54" s="22"/>
    </row>
    <row r="56" spans="2:10">
      <c r="H56" s="22"/>
    </row>
  </sheetData>
  <mergeCells count="2">
    <mergeCell ref="C1:E1"/>
    <mergeCell ref="F1:H1"/>
  </mergeCells>
  <phoneticPr fontId="0" type="noConversion"/>
  <printOptions headings="1" gridLines="1"/>
  <pageMargins left="0.78740157480314965" right="0.78740157480314965" top="0.2" bottom="0.17" header="0.51181102362204722" footer="0.5118110236220472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6"/>
  <sheetViews>
    <sheetView workbookViewId="0">
      <selection activeCell="E2" sqref="E2:E16"/>
    </sheetView>
  </sheetViews>
  <sheetFormatPr baseColWidth="10" defaultRowHeight="12" x14ac:dyDescent="0"/>
  <cols>
    <col min="1" max="1" width="60.5" bestFit="1" customWidth="1"/>
    <col min="2" max="2" width="9.33203125" bestFit="1" customWidth="1"/>
    <col min="3" max="3" width="8.6640625" customWidth="1"/>
    <col min="4" max="4" width="78.5" bestFit="1" customWidth="1"/>
    <col min="5" max="5" width="11.1640625" bestFit="1" customWidth="1"/>
  </cols>
  <sheetData>
    <row r="1" spans="1:5">
      <c r="A1" s="504" t="s">
        <v>467</v>
      </c>
      <c r="B1" s="505"/>
      <c r="C1" s="68"/>
      <c r="D1" s="504" t="s">
        <v>299</v>
      </c>
      <c r="E1" s="505"/>
    </row>
    <row r="2" spans="1:5">
      <c r="A2" s="170" t="s">
        <v>298</v>
      </c>
      <c r="B2" s="286"/>
      <c r="C2" s="73"/>
      <c r="D2" s="176" t="s">
        <v>236</v>
      </c>
      <c r="E2" s="267"/>
    </row>
    <row r="3" spans="1:5">
      <c r="A3" s="281" t="s">
        <v>286</v>
      </c>
      <c r="B3" s="177"/>
      <c r="C3" s="72"/>
      <c r="D3" s="288" t="s">
        <v>383</v>
      </c>
      <c r="E3" s="289"/>
    </row>
    <row r="4" spans="1:5">
      <c r="A4" s="281" t="s">
        <v>381</v>
      </c>
      <c r="B4" s="177"/>
      <c r="C4" s="72"/>
      <c r="D4" s="190" t="s">
        <v>382</v>
      </c>
      <c r="E4" s="265"/>
    </row>
    <row r="5" spans="1:5">
      <c r="A5" s="281" t="s">
        <v>365</v>
      </c>
      <c r="B5" s="282"/>
      <c r="C5" s="74"/>
      <c r="D5" s="158"/>
      <c r="E5" s="249"/>
    </row>
    <row r="6" spans="1:5">
      <c r="A6" s="281" t="s">
        <v>295</v>
      </c>
      <c r="B6" s="177"/>
      <c r="C6" s="72"/>
      <c r="D6" s="290" t="s">
        <v>391</v>
      </c>
      <c r="E6" s="267"/>
    </row>
    <row r="7" spans="1:5">
      <c r="A7" s="283" t="s">
        <v>297</v>
      </c>
      <c r="B7" s="174"/>
      <c r="C7" s="65"/>
      <c r="D7" s="190" t="s">
        <v>385</v>
      </c>
      <c r="E7" s="291"/>
    </row>
    <row r="8" spans="1:5">
      <c r="A8" s="170" t="s">
        <v>237</v>
      </c>
      <c r="B8" s="177"/>
      <c r="C8" s="72"/>
      <c r="D8" s="190" t="s">
        <v>384</v>
      </c>
      <c r="E8" s="265"/>
    </row>
    <row r="9" spans="1:5">
      <c r="A9" s="281" t="s">
        <v>287</v>
      </c>
      <c r="B9" s="177"/>
      <c r="C9" s="72"/>
      <c r="D9" s="190" t="s">
        <v>392</v>
      </c>
      <c r="E9" s="291"/>
    </row>
    <row r="10" spans="1:5">
      <c r="A10" s="281" t="s">
        <v>289</v>
      </c>
      <c r="B10" s="177"/>
      <c r="C10" s="72"/>
      <c r="D10" s="190" t="s">
        <v>387</v>
      </c>
      <c r="E10" s="265"/>
    </row>
    <row r="11" spans="1:5">
      <c r="A11" s="281" t="s">
        <v>288</v>
      </c>
      <c r="B11" s="177"/>
      <c r="C11" s="72"/>
      <c r="D11" s="190" t="s">
        <v>388</v>
      </c>
      <c r="E11" s="265"/>
    </row>
    <row r="12" spans="1:5">
      <c r="A12" s="281" t="s">
        <v>290</v>
      </c>
      <c r="B12" s="177"/>
      <c r="C12" s="72"/>
      <c r="D12" s="170" t="s">
        <v>394</v>
      </c>
      <c r="E12" s="292"/>
    </row>
    <row r="13" spans="1:5" ht="13" thickBot="1">
      <c r="A13" s="281" t="s">
        <v>291</v>
      </c>
      <c r="B13" s="177"/>
      <c r="C13" s="72"/>
      <c r="D13" s="295" t="s">
        <v>386</v>
      </c>
      <c r="E13" s="296"/>
    </row>
    <row r="14" spans="1:5">
      <c r="A14" s="281" t="s">
        <v>292</v>
      </c>
      <c r="B14" s="177"/>
      <c r="C14" s="72"/>
      <c r="D14" s="297" t="s">
        <v>390</v>
      </c>
      <c r="E14" s="298"/>
    </row>
    <row r="15" spans="1:5">
      <c r="A15" s="281" t="s">
        <v>293</v>
      </c>
      <c r="B15" s="177"/>
      <c r="C15" s="72"/>
      <c r="D15" s="190" t="s">
        <v>393</v>
      </c>
      <c r="E15" s="265"/>
    </row>
    <row r="16" spans="1:5" ht="13" thickBot="1">
      <c r="A16" s="283" t="s">
        <v>296</v>
      </c>
      <c r="B16" s="287"/>
      <c r="C16" s="72"/>
      <c r="D16" s="293" t="s">
        <v>389</v>
      </c>
      <c r="E16" s="294"/>
    </row>
    <row r="17" spans="1:5" ht="13" thickBot="1">
      <c r="A17" s="284" t="s">
        <v>294</v>
      </c>
      <c r="B17" s="285"/>
      <c r="C17" s="72"/>
    </row>
    <row r="18" spans="1:5" ht="13" thickBot="1">
      <c r="C18" s="65"/>
      <c r="D18" s="33"/>
      <c r="E18" s="33"/>
    </row>
    <row r="19" spans="1:5" ht="13" thickBot="1">
      <c r="A19" s="506" t="s">
        <v>468</v>
      </c>
      <c r="B19" s="507"/>
      <c r="C19" s="65"/>
      <c r="D19" s="33"/>
      <c r="E19" s="33"/>
    </row>
    <row r="20" spans="1:5">
      <c r="A20" s="279" t="s">
        <v>504</v>
      </c>
      <c r="B20" s="280"/>
      <c r="C20" s="75"/>
      <c r="D20" s="33"/>
      <c r="E20" s="33"/>
    </row>
    <row r="21" spans="1:5">
      <c r="A21" s="281" t="s">
        <v>286</v>
      </c>
      <c r="B21" s="177"/>
      <c r="C21" s="33"/>
      <c r="D21" s="503"/>
      <c r="E21" s="503"/>
    </row>
    <row r="22" spans="1:5">
      <c r="A22" s="281" t="s">
        <v>93</v>
      </c>
      <c r="B22" s="177"/>
      <c r="C22" s="33"/>
      <c r="D22" s="68"/>
      <c r="E22" s="68"/>
    </row>
    <row r="23" spans="1:5">
      <c r="A23" s="281" t="s">
        <v>381</v>
      </c>
      <c r="B23" s="177"/>
      <c r="C23" s="33"/>
      <c r="D23" s="33"/>
      <c r="E23" s="33"/>
    </row>
    <row r="24" spans="1:5">
      <c r="A24" s="281" t="s">
        <v>365</v>
      </c>
      <c r="B24" s="282"/>
      <c r="C24" s="33"/>
      <c r="D24" s="33"/>
      <c r="E24" s="33"/>
    </row>
    <row r="25" spans="1:5">
      <c r="A25" s="281" t="s">
        <v>295</v>
      </c>
      <c r="B25" s="177"/>
      <c r="C25" s="33"/>
      <c r="D25" s="33"/>
      <c r="E25" s="33"/>
    </row>
    <row r="26" spans="1:5">
      <c r="A26" s="283" t="s">
        <v>505</v>
      </c>
      <c r="B26" s="174"/>
      <c r="C26" s="33"/>
      <c r="D26" s="48"/>
      <c r="E26" s="66"/>
    </row>
    <row r="27" spans="1:5">
      <c r="A27" s="170" t="s">
        <v>506</v>
      </c>
      <c r="B27" s="177"/>
      <c r="C27" s="33"/>
    </row>
    <row r="28" spans="1:5">
      <c r="A28" s="281" t="s">
        <v>287</v>
      </c>
      <c r="B28" s="177"/>
      <c r="C28" s="33"/>
    </row>
    <row r="29" spans="1:5">
      <c r="A29" s="281" t="s">
        <v>289</v>
      </c>
      <c r="B29" s="177"/>
      <c r="D29" s="19"/>
      <c r="E29" s="67"/>
    </row>
    <row r="30" spans="1:5">
      <c r="A30" s="281" t="s">
        <v>288</v>
      </c>
      <c r="B30" s="177"/>
    </row>
    <row r="31" spans="1:5">
      <c r="A31" s="281" t="s">
        <v>290</v>
      </c>
      <c r="B31" s="177"/>
    </row>
    <row r="32" spans="1:5">
      <c r="A32" s="281" t="s">
        <v>291</v>
      </c>
      <c r="B32" s="177"/>
    </row>
    <row r="33" spans="1:2">
      <c r="A33" s="281" t="s">
        <v>292</v>
      </c>
      <c r="B33" s="177"/>
    </row>
    <row r="34" spans="1:2">
      <c r="A34" s="281" t="s">
        <v>293</v>
      </c>
      <c r="B34" s="177"/>
    </row>
    <row r="35" spans="1:2">
      <c r="A35" s="283" t="s">
        <v>507</v>
      </c>
      <c r="B35" s="174"/>
    </row>
    <row r="36" spans="1:2" ht="13" thickBot="1">
      <c r="A36" s="284" t="s">
        <v>294</v>
      </c>
      <c r="B36" s="285"/>
    </row>
  </sheetData>
  <mergeCells count="4">
    <mergeCell ref="D21:E21"/>
    <mergeCell ref="A1:B1"/>
    <mergeCell ref="D1:E1"/>
    <mergeCell ref="A19:B19"/>
  </mergeCells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3" sqref="D3:D8"/>
    </sheetView>
  </sheetViews>
  <sheetFormatPr baseColWidth="10" defaultRowHeight="12" x14ac:dyDescent="0"/>
  <cols>
    <col min="1" max="1" width="25.83203125" bestFit="1" customWidth="1"/>
    <col min="2" max="2" width="8.6640625" bestFit="1" customWidth="1"/>
    <col min="3" max="3" width="32.6640625" bestFit="1" customWidth="1"/>
    <col min="4" max="4" width="8.6640625" bestFit="1" customWidth="1"/>
  </cols>
  <sheetData>
    <row r="1" spans="1:5">
      <c r="A1" s="475" t="s">
        <v>300</v>
      </c>
      <c r="B1" s="475"/>
      <c r="C1" s="475" t="s">
        <v>303</v>
      </c>
      <c r="D1" s="475"/>
      <c r="E1" s="53"/>
    </row>
    <row r="2" spans="1:5">
      <c r="A2" s="27"/>
      <c r="B2" s="27" t="s">
        <v>152</v>
      </c>
      <c r="C2" s="21"/>
      <c r="D2" s="27" t="s">
        <v>152</v>
      </c>
      <c r="E2" s="6"/>
    </row>
    <row r="3" spans="1:5">
      <c r="A3" s="17" t="s">
        <v>54</v>
      </c>
      <c r="B3" s="54"/>
      <c r="C3" s="17" t="s">
        <v>286</v>
      </c>
      <c r="D3" s="54"/>
    </row>
    <row r="4" spans="1:5">
      <c r="A4" s="17" t="s">
        <v>301</v>
      </c>
      <c r="B4" s="54"/>
      <c r="C4" s="17" t="s">
        <v>304</v>
      </c>
      <c r="D4" s="17"/>
    </row>
    <row r="5" spans="1:5">
      <c r="A5" s="17" t="s">
        <v>302</v>
      </c>
      <c r="B5" s="54"/>
      <c r="C5" s="17" t="s">
        <v>305</v>
      </c>
      <c r="D5" s="17"/>
    </row>
    <row r="6" spans="1:5">
      <c r="A6" s="17"/>
      <c r="B6" s="17"/>
      <c r="C6" s="17" t="s">
        <v>306</v>
      </c>
      <c r="D6" s="18"/>
    </row>
    <row r="7" spans="1:5">
      <c r="A7" s="17"/>
      <c r="B7" s="17"/>
      <c r="C7" s="17"/>
      <c r="D7" s="17"/>
    </row>
    <row r="8" spans="1:5">
      <c r="A8" s="19" t="s">
        <v>307</v>
      </c>
      <c r="B8" s="55"/>
      <c r="C8" s="19" t="s">
        <v>308</v>
      </c>
      <c r="D8" s="55"/>
    </row>
  </sheetData>
  <mergeCells count="2">
    <mergeCell ref="A1:B1"/>
    <mergeCell ref="C1:D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E10" sqref="E10"/>
    </sheetView>
  </sheetViews>
  <sheetFormatPr baseColWidth="10" defaultRowHeight="12" x14ac:dyDescent="0"/>
  <cols>
    <col min="1" max="1" width="3" bestFit="1" customWidth="1"/>
    <col min="2" max="2" width="54.1640625" bestFit="1" customWidth="1"/>
    <col min="3" max="3" width="10.33203125" customWidth="1"/>
    <col min="4" max="4" width="10.5" customWidth="1"/>
  </cols>
  <sheetData>
    <row r="1" spans="1:4" ht="13" thickBot="1">
      <c r="A1" s="6">
        <v>1</v>
      </c>
      <c r="B1" s="6" t="s">
        <v>613</v>
      </c>
      <c r="C1" s="6" t="s">
        <v>614</v>
      </c>
      <c r="D1" s="6" t="s">
        <v>331</v>
      </c>
    </row>
    <row r="2" spans="1:4">
      <c r="A2" s="6">
        <v>2</v>
      </c>
      <c r="B2" s="508" t="s">
        <v>380</v>
      </c>
      <c r="C2" s="476"/>
      <c r="D2" s="477"/>
    </row>
    <row r="3" spans="1:4" ht="51" customHeight="1">
      <c r="A3" s="6">
        <v>3</v>
      </c>
      <c r="B3" s="188"/>
      <c r="C3" s="198" t="s">
        <v>526</v>
      </c>
      <c r="D3" s="189" t="s">
        <v>527</v>
      </c>
    </row>
    <row r="4" spans="1:4">
      <c r="A4" s="6">
        <v>4</v>
      </c>
      <c r="B4" s="170" t="s">
        <v>513</v>
      </c>
      <c r="C4" s="164"/>
      <c r="D4" s="174"/>
    </row>
    <row r="5" spans="1:4">
      <c r="A5" s="6">
        <v>5</v>
      </c>
      <c r="B5" s="170" t="s">
        <v>542</v>
      </c>
      <c r="C5" s="164"/>
      <c r="D5" s="174"/>
    </row>
    <row r="6" spans="1:4">
      <c r="A6" s="6">
        <v>6</v>
      </c>
      <c r="B6" s="170" t="s">
        <v>514</v>
      </c>
      <c r="C6" s="164"/>
      <c r="D6" s="174"/>
    </row>
    <row r="7" spans="1:4">
      <c r="A7" s="6">
        <v>7</v>
      </c>
      <c r="B7" s="170" t="s">
        <v>515</v>
      </c>
      <c r="C7" s="164"/>
      <c r="D7" s="174"/>
    </row>
    <row r="8" spans="1:4">
      <c r="A8" s="6">
        <v>8</v>
      </c>
      <c r="B8" s="190" t="s">
        <v>516</v>
      </c>
      <c r="C8" s="199"/>
      <c r="D8" s="191"/>
    </row>
    <row r="9" spans="1:4">
      <c r="A9" s="6">
        <v>9</v>
      </c>
      <c r="B9" s="192" t="s">
        <v>517</v>
      </c>
      <c r="C9" s="199"/>
      <c r="D9" s="205"/>
    </row>
    <row r="10" spans="1:4">
      <c r="A10" s="6">
        <v>10</v>
      </c>
      <c r="B10" s="192" t="s">
        <v>279</v>
      </c>
      <c r="C10" s="199"/>
      <c r="D10" s="205"/>
    </row>
    <row r="11" spans="1:4">
      <c r="A11" s="6">
        <v>11</v>
      </c>
      <c r="B11" s="190" t="s">
        <v>518</v>
      </c>
      <c r="C11" s="200"/>
      <c r="D11" s="193"/>
    </row>
    <row r="12" spans="1:4">
      <c r="A12" s="6">
        <v>12</v>
      </c>
      <c r="B12" s="190" t="s">
        <v>519</v>
      </c>
      <c r="C12" s="199"/>
      <c r="D12" s="177"/>
    </row>
    <row r="13" spans="1:4">
      <c r="A13" s="6">
        <v>13</v>
      </c>
      <c r="B13" s="190" t="s">
        <v>520</v>
      </c>
      <c r="C13" s="200"/>
      <c r="D13" s="193"/>
    </row>
    <row r="14" spans="1:4">
      <c r="A14" s="6">
        <v>14</v>
      </c>
      <c r="B14" s="190" t="s">
        <v>541</v>
      </c>
      <c r="C14" s="199"/>
      <c r="D14" s="191"/>
    </row>
    <row r="15" spans="1:4">
      <c r="A15" s="6">
        <v>15</v>
      </c>
      <c r="B15" s="190" t="s">
        <v>378</v>
      </c>
      <c r="C15" s="201"/>
      <c r="D15" s="194"/>
    </row>
    <row r="16" spans="1:4">
      <c r="A16" s="6">
        <v>16</v>
      </c>
      <c r="B16" s="170" t="s">
        <v>395</v>
      </c>
      <c r="C16" s="164"/>
      <c r="D16" s="174"/>
    </row>
    <row r="17" spans="1:4">
      <c r="A17" s="6">
        <v>17</v>
      </c>
      <c r="B17" s="170" t="s">
        <v>396</v>
      </c>
      <c r="C17" s="202"/>
      <c r="D17" s="195"/>
    </row>
    <row r="18" spans="1:4">
      <c r="A18" s="6">
        <v>18</v>
      </c>
      <c r="B18" s="158"/>
      <c r="C18" s="199"/>
      <c r="D18" s="204"/>
    </row>
    <row r="19" spans="1:4">
      <c r="A19" s="6">
        <v>19</v>
      </c>
      <c r="B19" s="190" t="s">
        <v>521</v>
      </c>
      <c r="C19" s="201"/>
      <c r="D19" s="194"/>
    </row>
    <row r="20" spans="1:4">
      <c r="A20" s="6">
        <v>20</v>
      </c>
      <c r="B20" s="170" t="s">
        <v>522</v>
      </c>
      <c r="C20" s="202"/>
      <c r="D20" s="195"/>
    </row>
    <row r="21" spans="1:4">
      <c r="A21" s="6">
        <v>21</v>
      </c>
      <c r="B21" s="170" t="s">
        <v>523</v>
      </c>
      <c r="C21" s="202"/>
      <c r="D21" s="195"/>
    </row>
    <row r="22" spans="1:4">
      <c r="A22" s="6">
        <v>22</v>
      </c>
      <c r="B22" s="170" t="s">
        <v>524</v>
      </c>
      <c r="C22" s="202"/>
      <c r="D22" s="195"/>
    </row>
    <row r="23" spans="1:4" ht="13" thickBot="1">
      <c r="A23" s="6">
        <v>23</v>
      </c>
      <c r="B23" s="196" t="s">
        <v>525</v>
      </c>
      <c r="C23" s="203"/>
      <c r="D23" s="197"/>
    </row>
    <row r="24" spans="1:4">
      <c r="B24" s="19"/>
      <c r="C24" s="79"/>
    </row>
  </sheetData>
  <mergeCells count="1">
    <mergeCell ref="B2:D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I6" sqref="I6"/>
    </sheetView>
  </sheetViews>
  <sheetFormatPr baseColWidth="10" defaultRowHeight="12" x14ac:dyDescent="0"/>
  <cols>
    <col min="1" max="1" width="25.5" bestFit="1" customWidth="1"/>
    <col min="4" max="4" width="9.1640625" bestFit="1" customWidth="1"/>
    <col min="5" max="5" width="37.6640625" bestFit="1" customWidth="1"/>
  </cols>
  <sheetData>
    <row r="1" spans="1:7" ht="13" thickBot="1">
      <c r="A1" s="1"/>
    </row>
    <row r="2" spans="1:7" ht="13" thickBot="1">
      <c r="A2" s="512" t="s">
        <v>543</v>
      </c>
      <c r="B2" s="513"/>
      <c r="C2" s="513"/>
      <c r="D2" s="514"/>
      <c r="E2" s="512" t="s">
        <v>544</v>
      </c>
      <c r="F2" s="513"/>
      <c r="G2" s="514"/>
    </row>
    <row r="3" spans="1:7">
      <c r="A3" s="515" t="s">
        <v>545</v>
      </c>
      <c r="B3" s="516"/>
      <c r="C3" s="516"/>
      <c r="D3" s="517"/>
      <c r="E3" s="515" t="s">
        <v>546</v>
      </c>
      <c r="F3" s="516"/>
      <c r="G3" s="517"/>
    </row>
    <row r="4" spans="1:7">
      <c r="A4" s="158"/>
      <c r="B4" s="248" t="s">
        <v>547</v>
      </c>
      <c r="C4" s="248" t="s">
        <v>548</v>
      </c>
      <c r="D4" s="249" t="s">
        <v>549</v>
      </c>
      <c r="E4" s="158"/>
      <c r="F4" s="248" t="s">
        <v>547</v>
      </c>
      <c r="G4" s="249" t="s">
        <v>548</v>
      </c>
    </row>
    <row r="5" spans="1:7">
      <c r="A5" s="158" t="s">
        <v>550</v>
      </c>
      <c r="B5" s="235"/>
      <c r="C5" s="235"/>
      <c r="D5" s="173"/>
      <c r="E5" s="381" t="s">
        <v>286</v>
      </c>
      <c r="F5" s="235"/>
      <c r="G5" s="250"/>
    </row>
    <row r="6" spans="1:7">
      <c r="A6" s="158" t="s">
        <v>551</v>
      </c>
      <c r="B6" s="235"/>
      <c r="C6" s="259"/>
      <c r="D6" s="173"/>
      <c r="E6" s="381" t="s">
        <v>552</v>
      </c>
      <c r="F6" s="235"/>
      <c r="G6" s="250"/>
    </row>
    <row r="7" spans="1:7">
      <c r="A7" s="238" t="s">
        <v>553</v>
      </c>
      <c r="B7" s="236"/>
      <c r="C7" s="236"/>
      <c r="D7" s="173"/>
      <c r="E7" s="381" t="s">
        <v>554</v>
      </c>
      <c r="F7" s="235"/>
      <c r="G7" s="250"/>
    </row>
    <row r="8" spans="1:7">
      <c r="A8" s="518" t="s">
        <v>555</v>
      </c>
      <c r="B8" s="482"/>
      <c r="C8" s="482"/>
      <c r="D8" s="519"/>
      <c r="E8" s="381"/>
      <c r="F8" s="235"/>
      <c r="G8" s="250"/>
    </row>
    <row r="9" spans="1:7">
      <c r="A9" s="158"/>
      <c r="B9" s="248" t="s">
        <v>547</v>
      </c>
      <c r="C9" s="248" t="s">
        <v>548</v>
      </c>
      <c r="D9" s="249" t="s">
        <v>549</v>
      </c>
      <c r="E9" s="382" t="s">
        <v>556</v>
      </c>
      <c r="F9" s="235"/>
      <c r="G9" s="250"/>
    </row>
    <row r="10" spans="1:7">
      <c r="A10" s="158" t="s">
        <v>557</v>
      </c>
      <c r="B10" s="235"/>
      <c r="C10" s="251"/>
      <c r="D10" s="250"/>
      <c r="E10" s="381" t="s">
        <v>558</v>
      </c>
      <c r="F10" s="235"/>
      <c r="G10" s="252"/>
    </row>
    <row r="11" spans="1:7">
      <c r="A11" s="158" t="s">
        <v>136</v>
      </c>
      <c r="B11" s="235"/>
      <c r="C11" s="251"/>
      <c r="D11" s="250"/>
      <c r="E11" s="381" t="s">
        <v>559</v>
      </c>
      <c r="F11" s="235"/>
      <c r="G11" s="250"/>
    </row>
    <row r="12" spans="1:7">
      <c r="A12" s="158" t="s">
        <v>560</v>
      </c>
      <c r="B12" s="235"/>
      <c r="C12" s="251"/>
      <c r="D12" s="250"/>
      <c r="E12" s="381" t="s">
        <v>229</v>
      </c>
      <c r="F12" s="235"/>
      <c r="G12" s="252"/>
    </row>
    <row r="13" spans="1:7">
      <c r="A13" s="158" t="s">
        <v>31</v>
      </c>
      <c r="B13" s="235"/>
      <c r="C13" s="251"/>
      <c r="D13" s="250"/>
      <c r="E13" s="381" t="s">
        <v>561</v>
      </c>
      <c r="F13" s="235"/>
      <c r="G13" s="250"/>
    </row>
    <row r="14" spans="1:7">
      <c r="A14" s="158" t="s">
        <v>186</v>
      </c>
      <c r="B14" s="235"/>
      <c r="C14" s="251"/>
      <c r="D14" s="250"/>
      <c r="E14" s="381" t="s">
        <v>310</v>
      </c>
      <c r="F14" s="235"/>
      <c r="G14" s="250"/>
    </row>
    <row r="15" spans="1:7">
      <c r="A15" s="158" t="s">
        <v>267</v>
      </c>
      <c r="B15" s="235"/>
      <c r="C15" s="253"/>
      <c r="D15" s="250"/>
      <c r="E15" s="383" t="s">
        <v>355</v>
      </c>
      <c r="F15" s="236"/>
      <c r="G15" s="244"/>
    </row>
    <row r="16" spans="1:7">
      <c r="A16" s="158" t="s">
        <v>562</v>
      </c>
      <c r="B16" s="235"/>
      <c r="C16" s="251"/>
      <c r="D16" s="250"/>
      <c r="E16" s="509" t="s">
        <v>563</v>
      </c>
      <c r="F16" s="510"/>
      <c r="G16" s="511"/>
    </row>
    <row r="17" spans="1:7">
      <c r="A17" s="158" t="s">
        <v>564</v>
      </c>
      <c r="B17" s="235"/>
      <c r="C17" s="251"/>
      <c r="D17" s="250"/>
      <c r="E17" s="381" t="s">
        <v>565</v>
      </c>
      <c r="F17" s="254"/>
      <c r="G17" s="252"/>
    </row>
    <row r="18" spans="1:7">
      <c r="A18" s="158" t="s">
        <v>566</v>
      </c>
      <c r="B18" s="235"/>
      <c r="C18" s="253"/>
      <c r="D18" s="173"/>
      <c r="E18" s="381" t="s">
        <v>567</v>
      </c>
      <c r="F18" s="254"/>
      <c r="G18" s="252"/>
    </row>
    <row r="19" spans="1:7">
      <c r="A19" s="238" t="s">
        <v>312</v>
      </c>
      <c r="B19" s="236"/>
      <c r="C19" s="236"/>
      <c r="D19" s="250"/>
      <c r="E19" s="381" t="s">
        <v>568</v>
      </c>
      <c r="F19" s="254"/>
      <c r="G19" s="255"/>
    </row>
    <row r="20" spans="1:7">
      <c r="A20" s="158"/>
      <c r="B20" s="162"/>
      <c r="C20" s="162"/>
      <c r="D20" s="173"/>
      <c r="E20" s="381" t="s">
        <v>569</v>
      </c>
      <c r="F20" s="254"/>
      <c r="G20" s="252"/>
    </row>
    <row r="21" spans="1:7">
      <c r="A21" s="158" t="s">
        <v>225</v>
      </c>
      <c r="B21" s="236"/>
      <c r="C21" s="236"/>
      <c r="D21" s="250"/>
      <c r="E21" s="381" t="s">
        <v>570</v>
      </c>
      <c r="F21" s="254"/>
      <c r="G21" s="252"/>
    </row>
    <row r="22" spans="1:7" ht="13" thickBot="1">
      <c r="A22" s="159"/>
      <c r="B22" s="214"/>
      <c r="C22" s="214"/>
      <c r="D22" s="256"/>
      <c r="E22" s="384" t="s">
        <v>356</v>
      </c>
      <c r="F22" s="257"/>
      <c r="G22" s="258"/>
    </row>
    <row r="24" spans="1:7">
      <c r="A24" s="1"/>
    </row>
    <row r="25" spans="1:7">
      <c r="A25" s="260"/>
      <c r="B25" s="260"/>
    </row>
    <row r="26" spans="1:7">
      <c r="A26" s="260"/>
      <c r="B26" s="260"/>
    </row>
    <row r="27" spans="1:7">
      <c r="A27" s="385"/>
      <c r="B27" s="260"/>
    </row>
    <row r="28" spans="1:7">
      <c r="A28" s="260"/>
    </row>
    <row r="29" spans="1:7">
      <c r="A29" s="260"/>
    </row>
    <row r="30" spans="1:7">
      <c r="A30" s="260"/>
      <c r="C30" s="1"/>
    </row>
    <row r="31" spans="1:7">
      <c r="A31" s="260"/>
    </row>
    <row r="32" spans="1:7">
      <c r="A32" s="260"/>
    </row>
    <row r="33" spans="1:1">
      <c r="A33" s="260"/>
    </row>
    <row r="34" spans="1:1">
      <c r="A34" s="260"/>
    </row>
    <row r="35" spans="1:1">
      <c r="A35" s="260"/>
    </row>
    <row r="36" spans="1:1">
      <c r="A36" s="260"/>
    </row>
  </sheetData>
  <mergeCells count="6">
    <mergeCell ref="E16:G16"/>
    <mergeCell ref="A2:D2"/>
    <mergeCell ref="E2:G2"/>
    <mergeCell ref="A3:D3"/>
    <mergeCell ref="E3:G3"/>
    <mergeCell ref="A8:D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6" sqref="G6"/>
    </sheetView>
  </sheetViews>
  <sheetFormatPr baseColWidth="10" defaultRowHeight="12" x14ac:dyDescent="0"/>
  <cols>
    <col min="1" max="1" width="26.5" bestFit="1" customWidth="1"/>
    <col min="2" max="3" width="9.1640625" bestFit="1" customWidth="1"/>
    <col min="4" max="4" width="11.83203125" bestFit="1" customWidth="1"/>
    <col min="5" max="5" width="13.5" bestFit="1" customWidth="1"/>
    <col min="7" max="7" width="20.5" bestFit="1" customWidth="1"/>
  </cols>
  <sheetData>
    <row r="1" spans="1:7">
      <c r="A1" s="508" t="s">
        <v>593</v>
      </c>
      <c r="B1" s="476"/>
      <c r="C1" s="477"/>
    </row>
    <row r="2" spans="1:7">
      <c r="A2" s="158"/>
      <c r="B2" s="162"/>
      <c r="C2" s="173"/>
    </row>
    <row r="3" spans="1:7">
      <c r="A3" s="158"/>
      <c r="B3" s="248" t="s">
        <v>547</v>
      </c>
      <c r="C3" s="249" t="s">
        <v>548</v>
      </c>
    </row>
    <row r="4" spans="1:7">
      <c r="A4" s="158" t="s">
        <v>594</v>
      </c>
      <c r="B4" s="347"/>
      <c r="C4" s="352"/>
    </row>
    <row r="5" spans="1:7">
      <c r="A5" s="158" t="s">
        <v>279</v>
      </c>
      <c r="B5" s="347"/>
      <c r="C5" s="352"/>
    </row>
    <row r="6" spans="1:7">
      <c r="A6" s="158" t="s">
        <v>595</v>
      </c>
      <c r="B6" s="524"/>
      <c r="C6" s="525"/>
    </row>
    <row r="7" spans="1:7">
      <c r="A7" s="158" t="s">
        <v>596</v>
      </c>
      <c r="B7" s="347"/>
      <c r="C7" s="352"/>
      <c r="E7" s="1"/>
    </row>
    <row r="8" spans="1:7">
      <c r="A8" s="158" t="s">
        <v>597</v>
      </c>
      <c r="B8" s="347"/>
      <c r="C8" s="352"/>
    </row>
    <row r="9" spans="1:7">
      <c r="A9" s="238" t="s">
        <v>598</v>
      </c>
      <c r="B9" s="526"/>
      <c r="C9" s="527"/>
    </row>
    <row r="10" spans="1:7">
      <c r="A10" s="158" t="s">
        <v>599</v>
      </c>
      <c r="B10" s="347"/>
      <c r="C10" s="352"/>
    </row>
    <row r="11" spans="1:7" ht="13" thickBot="1">
      <c r="A11" s="238" t="s">
        <v>600</v>
      </c>
      <c r="B11" s="347"/>
      <c r="C11" s="352"/>
    </row>
    <row r="12" spans="1:7">
      <c r="A12" s="158" t="s">
        <v>601</v>
      </c>
      <c r="B12" s="347"/>
      <c r="C12" s="352"/>
      <c r="D12" s="522" t="s">
        <v>606</v>
      </c>
      <c r="E12" s="522"/>
      <c r="F12" s="522"/>
      <c r="G12" s="523"/>
    </row>
    <row r="13" spans="1:7">
      <c r="A13" s="158" t="s">
        <v>602</v>
      </c>
      <c r="B13" s="347"/>
      <c r="C13" s="352"/>
      <c r="D13" s="348">
        <v>0</v>
      </c>
      <c r="E13" s="342">
        <v>5687</v>
      </c>
      <c r="F13" s="343">
        <v>0</v>
      </c>
      <c r="G13" s="173"/>
    </row>
    <row r="14" spans="1:7">
      <c r="A14" s="353" t="s">
        <v>612</v>
      </c>
      <c r="B14" s="351"/>
      <c r="C14" s="354"/>
      <c r="D14" s="349">
        <v>5687</v>
      </c>
      <c r="E14" s="342">
        <v>11344</v>
      </c>
      <c r="F14" s="343">
        <v>5.5E-2</v>
      </c>
      <c r="G14" s="344" t="s">
        <v>607</v>
      </c>
    </row>
    <row r="15" spans="1:7">
      <c r="A15" s="238" t="s">
        <v>603</v>
      </c>
      <c r="B15" s="510"/>
      <c r="C15" s="511"/>
      <c r="D15" s="348">
        <v>11344</v>
      </c>
      <c r="E15" s="342">
        <v>25195</v>
      </c>
      <c r="F15" s="343">
        <v>0.14000000000000001</v>
      </c>
      <c r="G15" s="173" t="s">
        <v>608</v>
      </c>
    </row>
    <row r="16" spans="1:7">
      <c r="A16" s="158" t="s">
        <v>604</v>
      </c>
      <c r="B16" s="528"/>
      <c r="C16" s="529"/>
      <c r="D16" s="350">
        <v>25195</v>
      </c>
      <c r="E16" s="342">
        <v>67546</v>
      </c>
      <c r="F16" s="343">
        <v>0.3</v>
      </c>
      <c r="G16" s="344" t="s">
        <v>609</v>
      </c>
    </row>
    <row r="17" spans="1:7" ht="13" thickBot="1">
      <c r="A17" s="246" t="s">
        <v>605</v>
      </c>
      <c r="B17" s="530"/>
      <c r="C17" s="531"/>
      <c r="D17" s="520" t="s">
        <v>610</v>
      </c>
      <c r="E17" s="521"/>
      <c r="F17" s="345">
        <v>0.4</v>
      </c>
      <c r="G17" s="346" t="s">
        <v>611</v>
      </c>
    </row>
  </sheetData>
  <mergeCells count="8">
    <mergeCell ref="D17:E17"/>
    <mergeCell ref="D12:G12"/>
    <mergeCell ref="A1:C1"/>
    <mergeCell ref="B6:C6"/>
    <mergeCell ref="B9:C9"/>
    <mergeCell ref="B15:C15"/>
    <mergeCell ref="B16:C16"/>
    <mergeCell ref="B17:C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9" workbookViewId="0">
      <selection activeCell="B24" sqref="B24:B27"/>
    </sheetView>
  </sheetViews>
  <sheetFormatPr baseColWidth="10" defaultRowHeight="12" x14ac:dyDescent="0"/>
  <cols>
    <col min="2" max="2" width="21.83203125" bestFit="1" customWidth="1"/>
    <col min="3" max="3" width="14.5" bestFit="1" customWidth="1"/>
    <col min="4" max="4" width="13.1640625" customWidth="1"/>
    <col min="5" max="5" width="12.1640625" customWidth="1"/>
    <col min="6" max="6" width="108.5" customWidth="1"/>
  </cols>
  <sheetData>
    <row r="1" spans="1:6" ht="15">
      <c r="A1" s="532" t="s">
        <v>636</v>
      </c>
      <c r="B1" s="532"/>
      <c r="C1" s="532"/>
      <c r="D1" s="532"/>
      <c r="E1" s="532"/>
      <c r="F1" s="532"/>
    </row>
    <row r="2" spans="1:6" ht="15">
      <c r="A2" s="449" t="s">
        <v>637</v>
      </c>
      <c r="B2" s="449" t="s">
        <v>638</v>
      </c>
      <c r="C2" s="1"/>
      <c r="D2" s="449" t="s">
        <v>526</v>
      </c>
      <c r="E2" s="449" t="s">
        <v>527</v>
      </c>
      <c r="F2" s="449" t="s">
        <v>639</v>
      </c>
    </row>
    <row r="3" spans="1:6" ht="15">
      <c r="A3" s="450" t="s">
        <v>640</v>
      </c>
      <c r="B3" s="451" t="s">
        <v>641</v>
      </c>
      <c r="C3" s="450"/>
      <c r="D3" s="452"/>
      <c r="E3" s="452"/>
    </row>
    <row r="4" spans="1:6" ht="15">
      <c r="A4" s="450" t="s">
        <v>642</v>
      </c>
      <c r="B4" s="451" t="s">
        <v>136</v>
      </c>
      <c r="C4" s="450"/>
      <c r="D4" s="452"/>
      <c r="E4" s="452"/>
    </row>
    <row r="5" spans="1:6" ht="15">
      <c r="A5" s="450" t="s">
        <v>643</v>
      </c>
      <c r="B5" s="451" t="s">
        <v>644</v>
      </c>
      <c r="C5" s="450"/>
      <c r="D5" s="452"/>
      <c r="E5" s="452"/>
      <c r="F5" t="s">
        <v>645</v>
      </c>
    </row>
    <row r="6" spans="1:6" ht="15">
      <c r="A6" s="450" t="s">
        <v>646</v>
      </c>
      <c r="B6" s="451" t="s">
        <v>647</v>
      </c>
      <c r="C6" s="450"/>
      <c r="D6" s="452"/>
      <c r="E6" s="452"/>
    </row>
    <row r="7" spans="1:6" ht="15">
      <c r="A7" s="450" t="s">
        <v>648</v>
      </c>
      <c r="B7" s="451" t="s">
        <v>560</v>
      </c>
      <c r="D7" s="22"/>
      <c r="E7" s="22"/>
    </row>
    <row r="8" spans="1:6" ht="15">
      <c r="A8" s="450" t="s">
        <v>649</v>
      </c>
      <c r="B8" s="451" t="s">
        <v>650</v>
      </c>
      <c r="D8" s="22"/>
      <c r="E8" s="22"/>
    </row>
    <row r="9" spans="1:6" ht="15">
      <c r="A9" s="450" t="s">
        <v>651</v>
      </c>
      <c r="B9" s="4" t="s">
        <v>652</v>
      </c>
      <c r="D9" s="22"/>
      <c r="E9" s="22"/>
      <c r="F9" t="s">
        <v>653</v>
      </c>
    </row>
    <row r="10" spans="1:6" ht="15">
      <c r="A10" s="450" t="s">
        <v>654</v>
      </c>
      <c r="B10" s="4" t="s">
        <v>655</v>
      </c>
      <c r="D10" s="22"/>
      <c r="E10" s="22"/>
    </row>
    <row r="11" spans="1:6" ht="15">
      <c r="A11" s="450" t="s">
        <v>656</v>
      </c>
      <c r="B11" s="451" t="s">
        <v>657</v>
      </c>
      <c r="D11" s="22"/>
      <c r="E11" s="22"/>
    </row>
    <row r="12" spans="1:6" ht="15">
      <c r="A12" s="450"/>
      <c r="B12" s="451"/>
      <c r="D12" s="22"/>
      <c r="E12" s="22"/>
    </row>
    <row r="13" spans="1:6" ht="15">
      <c r="A13" s="449" t="s">
        <v>658</v>
      </c>
      <c r="B13" s="432" t="s">
        <v>659</v>
      </c>
      <c r="C13" s="449" t="s">
        <v>660</v>
      </c>
      <c r="D13" s="453" t="s">
        <v>526</v>
      </c>
      <c r="E13" s="453" t="s">
        <v>527</v>
      </c>
      <c r="F13" s="432" t="s">
        <v>639</v>
      </c>
    </row>
    <row r="14" spans="1:6" ht="24">
      <c r="A14" s="454" t="s">
        <v>661</v>
      </c>
      <c r="B14" s="455" t="s">
        <v>662</v>
      </c>
      <c r="C14" s="455">
        <v>62.01</v>
      </c>
      <c r="D14" s="456"/>
      <c r="E14" s="456"/>
      <c r="F14" s="457" t="s">
        <v>663</v>
      </c>
    </row>
    <row r="15" spans="1:6" ht="24">
      <c r="A15" s="454" t="s">
        <v>664</v>
      </c>
      <c r="B15" s="455" t="s">
        <v>665</v>
      </c>
      <c r="C15" s="455">
        <v>10.31</v>
      </c>
      <c r="D15" s="456"/>
      <c r="E15" s="456"/>
      <c r="F15" s="457" t="s">
        <v>666</v>
      </c>
    </row>
    <row r="16" spans="1:6" ht="15">
      <c r="A16" s="454" t="s">
        <v>667</v>
      </c>
      <c r="B16" s="455" t="s">
        <v>668</v>
      </c>
      <c r="C16" s="455"/>
      <c r="D16" s="458"/>
      <c r="E16" s="458"/>
      <c r="F16" s="459" t="s">
        <v>669</v>
      </c>
    </row>
    <row r="17" spans="1:6">
      <c r="A17" s="460"/>
      <c r="B17" s="455" t="s">
        <v>670</v>
      </c>
      <c r="C17" s="461">
        <v>49.8</v>
      </c>
      <c r="D17" s="456"/>
      <c r="E17" s="456"/>
      <c r="F17" s="459" t="s">
        <v>671</v>
      </c>
    </row>
    <row r="18" spans="1:6" ht="24">
      <c r="A18" s="454" t="s">
        <v>672</v>
      </c>
      <c r="B18" s="455" t="s">
        <v>673</v>
      </c>
      <c r="C18" s="455"/>
      <c r="D18" s="456"/>
      <c r="E18" s="456"/>
      <c r="F18" s="457" t="s">
        <v>674</v>
      </c>
    </row>
    <row r="19" spans="1:6" ht="15">
      <c r="A19" s="454" t="s">
        <v>675</v>
      </c>
      <c r="B19" s="455" t="s">
        <v>676</v>
      </c>
      <c r="C19" s="455">
        <v>5.03</v>
      </c>
      <c r="D19" s="456"/>
      <c r="E19" s="456"/>
      <c r="F19" s="457" t="s">
        <v>677</v>
      </c>
    </row>
    <row r="20" spans="1:6">
      <c r="A20" s="460"/>
      <c r="B20" s="455" t="s">
        <v>678</v>
      </c>
      <c r="C20" s="455">
        <v>3.12</v>
      </c>
      <c r="D20" s="456"/>
      <c r="E20" s="456"/>
      <c r="F20" s="460" t="s">
        <v>679</v>
      </c>
    </row>
    <row r="21" spans="1:6" ht="15">
      <c r="A21" s="454" t="s">
        <v>680</v>
      </c>
      <c r="B21" s="455" t="s">
        <v>681</v>
      </c>
      <c r="C21" s="455"/>
      <c r="D21" s="456"/>
      <c r="E21" s="456"/>
      <c r="F21" s="459" t="s">
        <v>682</v>
      </c>
    </row>
    <row r="22" spans="1:6" ht="13" thickBot="1">
      <c r="A22" s="460"/>
      <c r="B22" s="455" t="s">
        <v>683</v>
      </c>
      <c r="C22" s="455">
        <v>26.13</v>
      </c>
      <c r="D22" s="456"/>
      <c r="E22" s="456"/>
      <c r="F22" s="459" t="s">
        <v>684</v>
      </c>
    </row>
    <row r="23" spans="1:6" ht="16" thickTop="1">
      <c r="A23" s="533" t="s">
        <v>696</v>
      </c>
      <c r="B23" s="534"/>
      <c r="C23" s="545" t="s">
        <v>526</v>
      </c>
      <c r="D23" s="546" t="s">
        <v>527</v>
      </c>
      <c r="E23" s="33"/>
    </row>
    <row r="24" spans="1:6">
      <c r="A24" s="535" t="s">
        <v>685</v>
      </c>
      <c r="B24" s="162" t="s">
        <v>565</v>
      </c>
      <c r="C24" s="162"/>
      <c r="D24" s="536"/>
      <c r="E24" s="547"/>
    </row>
    <row r="25" spans="1:6">
      <c r="A25" s="535" t="s">
        <v>640</v>
      </c>
      <c r="B25" s="162" t="s">
        <v>641</v>
      </c>
      <c r="C25" s="162"/>
      <c r="D25" s="536"/>
      <c r="E25" s="547"/>
    </row>
    <row r="26" spans="1:6">
      <c r="A26" s="535" t="s">
        <v>649</v>
      </c>
      <c r="B26" s="162" t="s">
        <v>697</v>
      </c>
      <c r="C26" s="162"/>
      <c r="D26" s="536"/>
      <c r="E26" s="547"/>
    </row>
    <row r="27" spans="1:6">
      <c r="A27" s="535" t="s">
        <v>686</v>
      </c>
      <c r="B27" s="162" t="s">
        <v>554</v>
      </c>
      <c r="C27" s="162"/>
      <c r="D27" s="536"/>
      <c r="E27" s="547"/>
    </row>
    <row r="28" spans="1:6">
      <c r="A28" s="535" t="s">
        <v>687</v>
      </c>
      <c r="B28" s="319" t="s">
        <v>688</v>
      </c>
      <c r="C28" s="162"/>
      <c r="D28" s="537"/>
      <c r="E28" s="548"/>
    </row>
    <row r="29" spans="1:6">
      <c r="A29" s="535" t="s">
        <v>689</v>
      </c>
      <c r="B29" s="319" t="s">
        <v>690</v>
      </c>
      <c r="C29" s="162"/>
      <c r="D29" s="538"/>
      <c r="E29" s="549"/>
    </row>
    <row r="30" spans="1:6">
      <c r="A30" s="535" t="s">
        <v>691</v>
      </c>
      <c r="B30" s="319" t="s">
        <v>676</v>
      </c>
      <c r="C30" s="162"/>
      <c r="D30" s="537"/>
      <c r="E30" s="548"/>
    </row>
    <row r="31" spans="1:6" ht="24">
      <c r="A31" s="539" t="s">
        <v>692</v>
      </c>
      <c r="B31" s="319" t="s">
        <v>693</v>
      </c>
      <c r="C31" s="162"/>
      <c r="D31" s="540"/>
      <c r="E31" s="550"/>
    </row>
    <row r="32" spans="1:6" ht="25" thickBot="1">
      <c r="A32" s="541" t="s">
        <v>694</v>
      </c>
      <c r="B32" s="542" t="s">
        <v>695</v>
      </c>
      <c r="C32" s="543"/>
      <c r="D32" s="544"/>
      <c r="E32" s="551"/>
    </row>
    <row r="33" ht="13" thickTop="1"/>
  </sheetData>
  <mergeCells count="2">
    <mergeCell ref="A1:F1"/>
    <mergeCell ref="A23:B2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84"/>
  <sheetViews>
    <sheetView workbookViewId="0">
      <selection activeCell="AH86" sqref="AH86"/>
    </sheetView>
  </sheetViews>
  <sheetFormatPr baseColWidth="10" defaultRowHeight="12" x14ac:dyDescent="0"/>
  <cols>
    <col min="1" max="1" width="35.33203125" bestFit="1" customWidth="1"/>
    <col min="2" max="2" width="4.1640625" bestFit="1" customWidth="1"/>
    <col min="3" max="3" width="24" bestFit="1" customWidth="1"/>
    <col min="4" max="14" width="8.33203125" customWidth="1"/>
    <col min="15" max="15" width="8.33203125" style="20" customWidth="1"/>
    <col min="16" max="16" width="8.33203125" bestFit="1" customWidth="1"/>
    <col min="17" max="26" width="8.33203125" customWidth="1"/>
    <col min="27" max="27" width="8.33203125" style="20" customWidth="1"/>
    <col min="28" max="33" width="8.33203125" customWidth="1"/>
    <col min="34" max="34" width="8" customWidth="1"/>
  </cols>
  <sheetData>
    <row r="1" spans="1:34">
      <c r="A1" s="27" t="s">
        <v>417</v>
      </c>
      <c r="D1" s="472" t="s">
        <v>415</v>
      </c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3"/>
      <c r="P1" s="472" t="s">
        <v>416</v>
      </c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3"/>
      <c r="AB1" s="474" t="s">
        <v>538</v>
      </c>
      <c r="AC1" s="475"/>
      <c r="AD1" s="475"/>
      <c r="AE1" s="475"/>
      <c r="AF1" s="475"/>
      <c r="AG1" s="475"/>
      <c r="AH1" s="475"/>
    </row>
    <row r="2" spans="1:34">
      <c r="A2" s="41">
        <f>'Budget, PV contrat'!D21</f>
        <v>119600</v>
      </c>
      <c r="C2" s="1" t="s">
        <v>423</v>
      </c>
      <c r="D2" s="40" t="s">
        <v>324</v>
      </c>
      <c r="E2" s="40" t="s">
        <v>325</v>
      </c>
      <c r="F2" s="40" t="s">
        <v>326</v>
      </c>
      <c r="G2" s="40" t="s">
        <v>327</v>
      </c>
      <c r="H2" s="40" t="s">
        <v>326</v>
      </c>
      <c r="I2" s="40" t="s">
        <v>324</v>
      </c>
      <c r="J2" s="40" t="s">
        <v>324</v>
      </c>
      <c r="K2" s="40" t="s">
        <v>327</v>
      </c>
      <c r="L2" s="40" t="s">
        <v>328</v>
      </c>
      <c r="M2" s="40" t="s">
        <v>329</v>
      </c>
      <c r="N2" s="40" t="s">
        <v>330</v>
      </c>
      <c r="O2" s="43" t="s">
        <v>331</v>
      </c>
      <c r="P2" s="40" t="s">
        <v>324</v>
      </c>
      <c r="Q2" s="40" t="s">
        <v>325</v>
      </c>
      <c r="R2" s="40" t="s">
        <v>326</v>
      </c>
      <c r="S2" s="40" t="s">
        <v>327</v>
      </c>
      <c r="T2" s="40" t="s">
        <v>326</v>
      </c>
      <c r="U2" s="40" t="s">
        <v>324</v>
      </c>
      <c r="V2" s="40" t="s">
        <v>324</v>
      </c>
      <c r="W2" s="40" t="s">
        <v>327</v>
      </c>
      <c r="X2" s="40" t="s">
        <v>328</v>
      </c>
      <c r="Y2" s="40" t="s">
        <v>329</v>
      </c>
      <c r="Z2" s="40" t="s">
        <v>330</v>
      </c>
      <c r="AA2" s="43" t="s">
        <v>331</v>
      </c>
      <c r="AB2" s="40" t="s">
        <v>324</v>
      </c>
      <c r="AC2" s="40" t="s">
        <v>325</v>
      </c>
      <c r="AD2" s="40" t="s">
        <v>326</v>
      </c>
      <c r="AE2" s="40" t="s">
        <v>327</v>
      </c>
      <c r="AF2" s="40" t="s">
        <v>326</v>
      </c>
      <c r="AG2" s="40" t="s">
        <v>324</v>
      </c>
    </row>
    <row r="3" spans="1:34">
      <c r="A3" s="27" t="s">
        <v>418</v>
      </c>
      <c r="C3" s="19" t="s">
        <v>420</v>
      </c>
      <c r="D3" s="40">
        <f>IF('Tableau simu'!B3="Oui",1,0)</f>
        <v>0</v>
      </c>
      <c r="E3" s="40"/>
      <c r="F3" s="40"/>
      <c r="G3" s="40"/>
      <c r="H3" s="40" t="s">
        <v>263</v>
      </c>
      <c r="I3" s="40"/>
      <c r="J3" s="40"/>
      <c r="K3" s="40"/>
      <c r="L3" s="40"/>
      <c r="M3" s="40"/>
      <c r="N3" s="40"/>
      <c r="O3" s="43"/>
      <c r="P3" s="40">
        <f>IF('Tableau simu'!C3="Oui",1,0)</f>
        <v>1</v>
      </c>
      <c r="Q3" s="40"/>
      <c r="R3" s="40"/>
      <c r="S3" s="40"/>
      <c r="T3" s="40" t="s">
        <v>263</v>
      </c>
      <c r="U3" s="40"/>
      <c r="V3" s="40"/>
      <c r="W3" s="40"/>
      <c r="X3" s="40"/>
      <c r="Y3" s="40"/>
      <c r="Z3" s="40"/>
      <c r="AA3" s="43"/>
      <c r="AB3" s="40"/>
      <c r="AC3" s="40"/>
      <c r="AD3" s="40"/>
      <c r="AE3" s="40"/>
      <c r="AF3" s="40"/>
      <c r="AG3" s="40"/>
    </row>
    <row r="4" spans="1:34">
      <c r="A4" s="41">
        <f>'Budget, PV contrat'!G21</f>
        <v>0</v>
      </c>
      <c r="C4" s="37" t="s">
        <v>422</v>
      </c>
      <c r="D4" s="40">
        <f>IF($B$9=0,0,$D$3*$B$9*$A$2)</f>
        <v>0</v>
      </c>
      <c r="E4" s="40"/>
      <c r="F4" s="40">
        <f>IF($B$10=0,0,$D$3*$B$10*$A$2)</f>
        <v>0</v>
      </c>
      <c r="G4" s="40"/>
      <c r="H4" s="129">
        <f>IF($B$11=0,0,$D$3*$B$11*$A$2)</f>
        <v>0</v>
      </c>
      <c r="I4" s="40"/>
      <c r="J4" s="40"/>
      <c r="K4" s="40"/>
      <c r="L4" s="40"/>
      <c r="M4" s="40"/>
      <c r="N4" s="40"/>
      <c r="O4" s="43"/>
      <c r="P4" s="40">
        <f>IF($B$9=0,0,$P$3*$B$9*$A$4)</f>
        <v>0</v>
      </c>
      <c r="Q4" s="40"/>
      <c r="R4" s="40">
        <f>IF($B$10=0,0,$P$3*$B$10*$A$4)</f>
        <v>0</v>
      </c>
      <c r="S4" s="40"/>
      <c r="T4" s="41">
        <f>IF($B$11=0,0,$P$3*$B$11*$A$4)</f>
        <v>0</v>
      </c>
      <c r="U4" s="40"/>
      <c r="V4" s="40"/>
      <c r="W4" s="40"/>
      <c r="X4" s="40"/>
      <c r="Y4" s="40"/>
      <c r="Z4" s="40"/>
      <c r="AA4" s="43"/>
      <c r="AB4" s="40"/>
      <c r="AC4" s="40"/>
      <c r="AD4" s="40"/>
      <c r="AE4" s="40"/>
      <c r="AF4" s="40"/>
      <c r="AG4" s="40"/>
    </row>
    <row r="5" spans="1:34">
      <c r="A5" s="27" t="s">
        <v>419</v>
      </c>
      <c r="C5" s="37" t="s">
        <v>333</v>
      </c>
      <c r="D5" s="40"/>
      <c r="E5" s="40">
        <f>D4</f>
        <v>0</v>
      </c>
      <c r="F5" s="40"/>
      <c r="G5" s="40">
        <f>F4</f>
        <v>0</v>
      </c>
      <c r="H5" s="40"/>
      <c r="I5" s="129">
        <f>H4</f>
        <v>0</v>
      </c>
      <c r="J5" s="40"/>
      <c r="K5" s="40"/>
      <c r="L5" s="40"/>
      <c r="M5" s="40"/>
      <c r="N5" s="40"/>
      <c r="O5" s="43"/>
      <c r="P5" s="40"/>
      <c r="Q5" s="40">
        <f>P4</f>
        <v>0</v>
      </c>
      <c r="R5" s="40"/>
      <c r="S5" s="40">
        <f>R4</f>
        <v>0</v>
      </c>
      <c r="T5" s="40"/>
      <c r="U5" s="41">
        <f>T4</f>
        <v>0</v>
      </c>
      <c r="V5" s="40"/>
      <c r="W5" s="40"/>
      <c r="X5" s="40"/>
      <c r="Y5" s="40"/>
      <c r="Z5" s="40"/>
      <c r="AA5" s="43"/>
      <c r="AB5" s="40"/>
      <c r="AC5" s="40"/>
      <c r="AD5" s="40"/>
      <c r="AE5" s="40"/>
      <c r="AF5" s="40"/>
      <c r="AG5" s="40"/>
    </row>
    <row r="6" spans="1:34">
      <c r="A6" s="41">
        <f>'Budget, PV contrat'!J21</f>
        <v>0</v>
      </c>
      <c r="C6" s="19" t="s">
        <v>421</v>
      </c>
      <c r="D6" s="40"/>
      <c r="E6" s="40">
        <f>IF('Tableau simu'!B4="Oui",1,0)</f>
        <v>0</v>
      </c>
      <c r="F6" s="40"/>
      <c r="G6" s="40"/>
      <c r="H6" s="40"/>
      <c r="I6" s="40" t="s">
        <v>263</v>
      </c>
      <c r="J6" s="40"/>
      <c r="K6" s="40"/>
      <c r="L6" s="40"/>
      <c r="M6" s="40"/>
      <c r="N6" s="40"/>
      <c r="O6" s="43"/>
      <c r="P6" s="40"/>
      <c r="Q6" s="40">
        <f>IF('Tableau simu'!C4="Oui",1,0)</f>
        <v>1</v>
      </c>
      <c r="R6" s="40"/>
      <c r="S6" s="40"/>
      <c r="T6" s="40"/>
      <c r="U6" s="40" t="s">
        <v>263</v>
      </c>
      <c r="V6" s="40"/>
      <c r="W6" s="40"/>
      <c r="X6" s="40"/>
      <c r="Y6" s="40"/>
      <c r="Z6" s="40"/>
      <c r="AA6" s="43"/>
      <c r="AB6" s="40"/>
      <c r="AC6" s="40"/>
      <c r="AD6" s="40"/>
      <c r="AE6" s="40"/>
      <c r="AF6" s="40"/>
      <c r="AG6" s="40"/>
    </row>
    <row r="7" spans="1:34">
      <c r="A7" s="17"/>
      <c r="C7" s="37" t="s">
        <v>332</v>
      </c>
      <c r="D7" s="40"/>
      <c r="E7" s="40">
        <f>IF($B$9=0,0,$E$6*$B$9*$A$2)</f>
        <v>0</v>
      </c>
      <c r="F7" s="40"/>
      <c r="G7" s="40">
        <f>IF($B$10=0,0,$E$6*$B$10*$A$2)</f>
        <v>0</v>
      </c>
      <c r="H7" s="40"/>
      <c r="I7" s="41">
        <f>IF($B$11=0,0,$E$6*$B$11*$A$2)</f>
        <v>0</v>
      </c>
      <c r="J7" s="40"/>
      <c r="K7" s="40"/>
      <c r="L7" s="40"/>
      <c r="M7" s="40"/>
      <c r="N7" s="40"/>
      <c r="O7" s="43"/>
      <c r="P7" s="40"/>
      <c r="Q7" s="40">
        <f>IF($B$9=0,0,$Q$6*$B$9*$A$4)</f>
        <v>0</v>
      </c>
      <c r="R7" s="40"/>
      <c r="S7" s="40">
        <f>IF($B$10=0,0,$Q$6*$B$10*$A$4)</f>
        <v>0</v>
      </c>
      <c r="T7" s="40"/>
      <c r="U7" s="41">
        <f>IF($B$11=0,0,$Q$6*$B$11*$A$4)</f>
        <v>0</v>
      </c>
      <c r="V7" s="40"/>
      <c r="W7" s="40"/>
      <c r="X7" s="40"/>
      <c r="Y7" s="40"/>
      <c r="Z7" s="40"/>
      <c r="AA7" s="43"/>
      <c r="AB7" s="40"/>
      <c r="AC7" s="40"/>
      <c r="AD7" s="40"/>
      <c r="AE7" s="40"/>
      <c r="AF7" s="40"/>
      <c r="AG7" s="40"/>
    </row>
    <row r="8" spans="1:34">
      <c r="A8" s="19" t="s">
        <v>346</v>
      </c>
      <c r="B8" s="45"/>
      <c r="C8" s="37" t="s">
        <v>333</v>
      </c>
      <c r="D8" s="40"/>
      <c r="E8" s="40"/>
      <c r="F8" s="40">
        <f>IF($B$9=0,0,$E$6*$B$9*$A$2)</f>
        <v>0</v>
      </c>
      <c r="G8" s="40"/>
      <c r="H8" s="40">
        <f>IF($B$10=0,0,$E$6*$B$10*$A$2)</f>
        <v>0</v>
      </c>
      <c r="I8" s="40"/>
      <c r="J8" s="41">
        <f>IF($B$11=0,0,$E$6*$B$11*$A$2)</f>
        <v>0</v>
      </c>
      <c r="K8" s="40"/>
      <c r="L8" s="40"/>
      <c r="M8" s="40"/>
      <c r="N8" s="40"/>
      <c r="O8" s="43"/>
      <c r="P8" s="40"/>
      <c r="Q8" s="40"/>
      <c r="R8" s="40">
        <f>Q7</f>
        <v>0</v>
      </c>
      <c r="S8" s="40"/>
      <c r="T8" s="40">
        <f>S7</f>
        <v>0</v>
      </c>
      <c r="U8" s="40"/>
      <c r="V8" s="41">
        <f>U7</f>
        <v>0</v>
      </c>
      <c r="W8" s="40"/>
      <c r="X8" s="40"/>
      <c r="Y8" s="40"/>
      <c r="Z8" s="40"/>
      <c r="AA8" s="43"/>
      <c r="AB8" s="40"/>
      <c r="AC8" s="40"/>
      <c r="AD8" s="40"/>
      <c r="AE8" s="40"/>
      <c r="AF8" s="40"/>
      <c r="AG8" s="40"/>
    </row>
    <row r="9" spans="1:34">
      <c r="A9" s="17" t="s">
        <v>318</v>
      </c>
      <c r="B9" s="26">
        <f>'Tableau simu'!B20</f>
        <v>0.1</v>
      </c>
      <c r="C9" s="39" t="s">
        <v>334</v>
      </c>
      <c r="D9" s="40"/>
      <c r="E9" s="40"/>
      <c r="F9" s="40">
        <f>IF('Tableau simu'!B5="Oui",1,0)</f>
        <v>1</v>
      </c>
      <c r="G9" s="40"/>
      <c r="H9" s="40"/>
      <c r="I9" s="40"/>
      <c r="J9" s="40" t="s">
        <v>263</v>
      </c>
      <c r="K9" s="40"/>
      <c r="L9" s="40"/>
      <c r="M9" s="40"/>
      <c r="N9" s="40"/>
      <c r="O9" s="43"/>
      <c r="P9" s="37"/>
      <c r="Q9" s="37"/>
      <c r="R9" s="40">
        <f>IF('Tableau simu'!C5="Oui",1,0)</f>
        <v>1</v>
      </c>
      <c r="S9" s="37"/>
      <c r="T9" s="37"/>
      <c r="V9" s="40" t="s">
        <v>263</v>
      </c>
    </row>
    <row r="10" spans="1:34">
      <c r="A10" s="17" t="s">
        <v>315</v>
      </c>
      <c r="B10" s="26">
        <f>'Tableau simu'!B21</f>
        <v>0.4</v>
      </c>
      <c r="C10" s="37" t="s">
        <v>332</v>
      </c>
      <c r="D10" s="40"/>
      <c r="E10" s="40"/>
      <c r="F10" s="40">
        <f>IF($B$9=0,0,$F$9*$B$9*$A$2)</f>
        <v>11960</v>
      </c>
      <c r="G10" s="37"/>
      <c r="H10" s="40">
        <f>IF($B$10=0,0,$F$9*$B$10*$A$2)</f>
        <v>47840</v>
      </c>
      <c r="I10" s="40"/>
      <c r="J10" s="41">
        <f>IF($B$11=0,0,$F$9*$B$11*$A$2)</f>
        <v>59800</v>
      </c>
      <c r="K10" s="40"/>
      <c r="L10" s="40"/>
      <c r="M10" s="40"/>
      <c r="N10" s="40"/>
      <c r="O10" s="43"/>
      <c r="P10" s="37"/>
      <c r="Q10" s="37"/>
      <c r="R10" s="40">
        <f>IF($B$9=0,0,$R$9*$B$9*$A$4)</f>
        <v>0</v>
      </c>
      <c r="S10" s="40"/>
      <c r="T10" s="40">
        <f>IF($B$10=0,0,$R$9*$B$10*$A$4)</f>
        <v>0</v>
      </c>
      <c r="U10" s="40"/>
      <c r="V10" s="41">
        <f>IF($B$11=0,0,$R$9*$B$11*$A$4)</f>
        <v>0</v>
      </c>
    </row>
    <row r="11" spans="1:34">
      <c r="A11" s="17" t="s">
        <v>316</v>
      </c>
      <c r="B11" s="46">
        <f>1-(B9+B10)</f>
        <v>0.5</v>
      </c>
      <c r="C11" s="37" t="s">
        <v>333</v>
      </c>
      <c r="D11" s="40"/>
      <c r="E11" s="40"/>
      <c r="F11" s="40"/>
      <c r="G11" s="40">
        <f>F10</f>
        <v>11960</v>
      </c>
      <c r="H11" s="40"/>
      <c r="I11" s="40">
        <f>H10</f>
        <v>47840</v>
      </c>
      <c r="J11" s="40"/>
      <c r="K11" s="41">
        <f>J10</f>
        <v>59800</v>
      </c>
      <c r="L11" s="40"/>
      <c r="M11" s="40"/>
      <c r="N11" s="40"/>
      <c r="O11" s="43"/>
      <c r="P11" s="37"/>
      <c r="Q11" s="37"/>
      <c r="R11" s="37"/>
      <c r="S11" s="40">
        <f>R10</f>
        <v>0</v>
      </c>
      <c r="T11" s="40"/>
      <c r="U11" s="40">
        <f>T10</f>
        <v>0</v>
      </c>
      <c r="V11" s="40"/>
      <c r="W11" s="41">
        <f>V10</f>
        <v>0</v>
      </c>
    </row>
    <row r="12" spans="1:34">
      <c r="A12" s="17" t="s">
        <v>345</v>
      </c>
      <c r="B12" s="47" t="s">
        <v>377</v>
      </c>
      <c r="C12" s="39" t="s">
        <v>335</v>
      </c>
      <c r="D12" s="40"/>
      <c r="E12" s="40"/>
      <c r="F12" s="40"/>
      <c r="G12" s="40">
        <f>IF('Tableau simu'!B6="Oui",1,0)</f>
        <v>1</v>
      </c>
      <c r="H12" s="40"/>
      <c r="I12" s="40"/>
      <c r="J12" s="40"/>
      <c r="K12" s="40" t="s">
        <v>263</v>
      </c>
      <c r="L12" s="40"/>
      <c r="M12" s="40"/>
      <c r="N12" s="40"/>
      <c r="O12" s="43"/>
      <c r="P12" s="37"/>
      <c r="Q12" s="37"/>
      <c r="R12" s="37"/>
      <c r="S12" s="40">
        <f>IF('Tableau simu'!C6="Oui",1,0)</f>
        <v>1</v>
      </c>
      <c r="T12" s="37"/>
      <c r="W12" s="40" t="s">
        <v>263</v>
      </c>
    </row>
    <row r="13" spans="1:34">
      <c r="C13" s="37" t="s">
        <v>332</v>
      </c>
      <c r="D13" s="40"/>
      <c r="E13" s="40"/>
      <c r="F13" s="40"/>
      <c r="G13" s="40">
        <f>IF($B$9=0,0,$G$12*$B$9*$A$2)</f>
        <v>11960</v>
      </c>
      <c r="H13" s="37"/>
      <c r="I13" s="40">
        <f>IF($B$10=0,0,$G$12*$B$10*$A$2)</f>
        <v>47840</v>
      </c>
      <c r="J13" s="40"/>
      <c r="K13" s="41">
        <f>IF($B$11=0,0,$G$12*$B$11*$A$2)</f>
        <v>59800</v>
      </c>
      <c r="L13" s="40"/>
      <c r="M13" s="40"/>
      <c r="N13" s="40"/>
      <c r="O13" s="43"/>
      <c r="P13" s="37"/>
      <c r="Q13" s="37"/>
      <c r="R13" s="37"/>
      <c r="S13" s="40">
        <f>IF($B$9=0,0,$S$12*$B$9*$A$4)</f>
        <v>0</v>
      </c>
      <c r="T13" s="40"/>
      <c r="U13" s="40">
        <f>IF($B$10=0,0,$S$12*$B$10*$A$4)</f>
        <v>0</v>
      </c>
      <c r="V13" s="40"/>
      <c r="W13" s="41">
        <f>IF($B$11=0,0,$S$12*$B$11*$A$4)</f>
        <v>0</v>
      </c>
    </row>
    <row r="14" spans="1:34">
      <c r="C14" s="37" t="s">
        <v>333</v>
      </c>
      <c r="D14" s="40"/>
      <c r="E14" s="40"/>
      <c r="F14" s="40"/>
      <c r="G14" s="40"/>
      <c r="H14" s="40">
        <f>G13</f>
        <v>11960</v>
      </c>
      <c r="I14" s="40"/>
      <c r="J14" s="40">
        <f>I13</f>
        <v>47840</v>
      </c>
      <c r="K14" s="40"/>
      <c r="L14" s="41">
        <f>K13</f>
        <v>59800</v>
      </c>
      <c r="M14" s="40"/>
      <c r="N14" s="40"/>
      <c r="O14" s="43"/>
      <c r="P14" s="37"/>
      <c r="Q14" s="37"/>
      <c r="R14" s="37"/>
      <c r="S14" s="37"/>
      <c r="T14" s="40">
        <f>S13</f>
        <v>0</v>
      </c>
      <c r="U14" s="40"/>
      <c r="V14" s="40">
        <f>U13</f>
        <v>0</v>
      </c>
      <c r="W14" s="40"/>
      <c r="X14" s="41">
        <f>W13</f>
        <v>0</v>
      </c>
    </row>
    <row r="15" spans="1:34">
      <c r="C15" s="39" t="s">
        <v>336</v>
      </c>
      <c r="D15" s="40"/>
      <c r="E15" s="40"/>
      <c r="F15" s="40"/>
      <c r="G15" s="40"/>
      <c r="H15" s="40">
        <f>IF('Tableau simu'!B7="Oui",1,0)</f>
        <v>1</v>
      </c>
      <c r="I15" s="40"/>
      <c r="J15" s="40"/>
      <c r="K15" s="40"/>
      <c r="L15" s="40" t="s">
        <v>263</v>
      </c>
      <c r="M15" s="40"/>
      <c r="N15" s="40"/>
      <c r="O15" s="43"/>
      <c r="P15" s="37"/>
      <c r="Q15" s="37"/>
      <c r="R15" s="37"/>
      <c r="S15" s="37"/>
      <c r="T15" s="40">
        <f>IF('Tableau simu'!C7="Oui",1,0)</f>
        <v>1</v>
      </c>
      <c r="X15" s="40" t="s">
        <v>263</v>
      </c>
    </row>
    <row r="16" spans="1:34">
      <c r="C16" s="37" t="s">
        <v>332</v>
      </c>
      <c r="D16" s="40"/>
      <c r="E16" s="40"/>
      <c r="F16" s="40"/>
      <c r="G16" s="40"/>
      <c r="H16" s="40">
        <f>IF($B$9=0,0,$H$15*$B$9*$A$2)</f>
        <v>11960</v>
      </c>
      <c r="I16" s="37"/>
      <c r="J16" s="40">
        <f>IF($B$10=0,0,$H$15*$B$10*$A$2)</f>
        <v>47840</v>
      </c>
      <c r="K16" s="40"/>
      <c r="L16" s="41">
        <f>IF($B$11=0,0,$H$15*$B$11*$A$2)</f>
        <v>59800</v>
      </c>
      <c r="M16" s="40"/>
      <c r="N16" s="40"/>
      <c r="O16" s="43"/>
      <c r="P16" s="37"/>
      <c r="Q16" s="37"/>
      <c r="R16" s="37"/>
      <c r="S16" s="37"/>
      <c r="T16" s="40">
        <f>IF($B$9=0,0,$T$15*$B$9*$A$4)</f>
        <v>0</v>
      </c>
      <c r="U16" s="40"/>
      <c r="V16" s="40">
        <f>IF($B$10=0,0,$T$15*$B$10*$A$4)</f>
        <v>0</v>
      </c>
      <c r="W16" s="40"/>
      <c r="X16" s="41">
        <f>IF($B$11=0,0,$T$15*$B$11*$A$4)</f>
        <v>0</v>
      </c>
    </row>
    <row r="17" spans="1:30">
      <c r="C17" s="37" t="s">
        <v>333</v>
      </c>
      <c r="D17" s="40"/>
      <c r="E17" s="40"/>
      <c r="F17" s="40"/>
      <c r="G17" s="40"/>
      <c r="H17" s="40"/>
      <c r="I17" s="40">
        <f>H16</f>
        <v>11960</v>
      </c>
      <c r="J17" s="40"/>
      <c r="K17" s="40">
        <f>J16</f>
        <v>47840</v>
      </c>
      <c r="L17" s="40"/>
      <c r="M17" s="41">
        <f>L16</f>
        <v>59800</v>
      </c>
      <c r="N17" s="40"/>
      <c r="O17" s="43"/>
      <c r="P17" s="37"/>
      <c r="Q17" s="37"/>
      <c r="R17" s="37"/>
      <c r="S17" s="37"/>
      <c r="T17" s="37"/>
      <c r="U17" s="40">
        <f>T16</f>
        <v>0</v>
      </c>
      <c r="V17" s="40"/>
      <c r="W17" s="40">
        <f>V16</f>
        <v>0</v>
      </c>
      <c r="X17" s="40"/>
      <c r="Y17" s="41">
        <f>X16</f>
        <v>0</v>
      </c>
    </row>
    <row r="18" spans="1:30">
      <c r="C18" s="39" t="s">
        <v>337</v>
      </c>
      <c r="D18" s="40"/>
      <c r="E18" s="40"/>
      <c r="F18" s="40"/>
      <c r="G18" s="40"/>
      <c r="H18" s="40"/>
      <c r="I18" s="40">
        <f>IF('Tableau simu'!B8="Oui",1,0)</f>
        <v>1</v>
      </c>
      <c r="J18" s="40"/>
      <c r="K18" s="40"/>
      <c r="L18" s="40"/>
      <c r="M18" s="40" t="s">
        <v>263</v>
      </c>
      <c r="N18" s="40"/>
      <c r="O18" s="43"/>
      <c r="P18" s="37"/>
      <c r="Q18" s="37"/>
      <c r="R18" s="37"/>
      <c r="S18" s="37"/>
      <c r="T18" s="37"/>
      <c r="U18" s="40">
        <f>IF('Tableau simu'!C8="Oui",1,0)</f>
        <v>1</v>
      </c>
      <c r="Y18" s="40" t="s">
        <v>263</v>
      </c>
    </row>
    <row r="19" spans="1:30">
      <c r="A19" s="17"/>
      <c r="C19" s="37" t="s">
        <v>332</v>
      </c>
      <c r="D19" s="40"/>
      <c r="E19" s="40"/>
      <c r="F19" s="40"/>
      <c r="G19" s="40"/>
      <c r="H19" s="40"/>
      <c r="I19" s="40">
        <f>IF($B$9=0,0,$I$18*$B$9*$A$2)</f>
        <v>11960</v>
      </c>
      <c r="J19" s="37"/>
      <c r="K19" s="40">
        <f>IF($B$10=0,0,$I$18*$B$10*$A$2)</f>
        <v>47840</v>
      </c>
      <c r="L19" s="40"/>
      <c r="M19" s="41">
        <f>IF($B$11=0,0,$I$18*$B$11*$A$2)</f>
        <v>59800</v>
      </c>
      <c r="N19" s="40"/>
      <c r="O19" s="43"/>
      <c r="P19" s="37"/>
      <c r="Q19" s="37"/>
      <c r="R19" s="37"/>
      <c r="S19" s="37"/>
      <c r="T19" s="37"/>
      <c r="U19" s="40">
        <f>IF($B$9=0,0,$U$18*$B$9*$A$4)</f>
        <v>0</v>
      </c>
      <c r="V19" s="40"/>
      <c r="W19" s="40">
        <f>IF($B$10=0,0,$U$18*$B$10*$A$4)</f>
        <v>0</v>
      </c>
      <c r="X19" s="40"/>
      <c r="Y19" s="41">
        <f>IF($B$11=0,0,$U$18*$B$11*$A$4)</f>
        <v>0</v>
      </c>
    </row>
    <row r="20" spans="1:30">
      <c r="C20" s="37" t="s">
        <v>333</v>
      </c>
      <c r="D20" s="40"/>
      <c r="E20" s="40"/>
      <c r="F20" s="40"/>
      <c r="G20" s="40"/>
      <c r="H20" s="40"/>
      <c r="I20" s="40"/>
      <c r="J20" s="40">
        <f>I19</f>
        <v>11960</v>
      </c>
      <c r="K20" s="40"/>
      <c r="L20" s="40">
        <f>K19</f>
        <v>47840</v>
      </c>
      <c r="M20" s="40"/>
      <c r="N20" s="41">
        <f>M19</f>
        <v>59800</v>
      </c>
      <c r="O20" s="43"/>
      <c r="P20" s="37"/>
      <c r="Q20" s="37"/>
      <c r="R20" s="37"/>
      <c r="S20" s="37"/>
      <c r="T20" s="37"/>
      <c r="V20" s="40">
        <f>U19</f>
        <v>0</v>
      </c>
      <c r="W20" s="40"/>
      <c r="X20" s="40">
        <f>W19</f>
        <v>0</v>
      </c>
      <c r="Y20" s="40"/>
      <c r="Z20" s="41">
        <f>Y19</f>
        <v>0</v>
      </c>
    </row>
    <row r="21" spans="1:30">
      <c r="C21" s="39" t="s">
        <v>338</v>
      </c>
      <c r="D21" s="40"/>
      <c r="E21" s="40"/>
      <c r="F21" s="40"/>
      <c r="G21" s="40"/>
      <c r="H21" s="40"/>
      <c r="I21" s="40"/>
      <c r="J21" s="40">
        <f>IF('Tableau simu'!B9="Oui",1,0)</f>
        <v>1</v>
      </c>
      <c r="K21" s="40"/>
      <c r="L21" s="40"/>
      <c r="M21" s="40"/>
      <c r="N21" s="40" t="s">
        <v>263</v>
      </c>
      <c r="O21" s="43"/>
      <c r="P21" s="37"/>
      <c r="Q21" s="37"/>
      <c r="R21" s="37"/>
      <c r="S21" s="37"/>
      <c r="T21" s="37"/>
      <c r="V21" s="40">
        <f>IF('Tableau simu'!C9="Oui",1,0)</f>
        <v>1</v>
      </c>
      <c r="Z21" s="40" t="s">
        <v>263</v>
      </c>
    </row>
    <row r="22" spans="1:30">
      <c r="C22" s="37" t="s">
        <v>332</v>
      </c>
      <c r="D22" s="40"/>
      <c r="E22" s="40"/>
      <c r="F22" s="40"/>
      <c r="G22" s="40"/>
      <c r="H22" s="40"/>
      <c r="I22" s="40"/>
      <c r="J22" s="40">
        <f>IF($B$9=0,0,$J$21*$B$9*$A$2)</f>
        <v>11960</v>
      </c>
      <c r="K22" s="37"/>
      <c r="L22" s="40">
        <f>IF($B$10=0,0,$J$21*$B$10*$A$2)</f>
        <v>47840</v>
      </c>
      <c r="M22" s="40"/>
      <c r="N22" s="41">
        <f>IF($B$11=0,0,$J$21*$B$11*$A$2)</f>
        <v>59800</v>
      </c>
      <c r="O22" s="43"/>
      <c r="P22" s="37"/>
      <c r="Q22" s="37"/>
      <c r="R22" s="37"/>
      <c r="S22" s="37"/>
      <c r="T22" s="37"/>
      <c r="V22" s="40">
        <f>IF($B$9=0,0,$V$21*$B$9*$A$4)</f>
        <v>0</v>
      </c>
      <c r="W22" s="40"/>
      <c r="X22" s="40">
        <f>IF($B$10=0,0,$V$21*$B$10*$A$4)</f>
        <v>0</v>
      </c>
      <c r="Y22" s="40"/>
      <c r="Z22" s="41">
        <f>IF($B$11=0,0,$V$21*$B$11*$A$4)</f>
        <v>0</v>
      </c>
    </row>
    <row r="23" spans="1:30">
      <c r="C23" s="37" t="s">
        <v>333</v>
      </c>
      <c r="D23" s="40"/>
      <c r="E23" s="40"/>
      <c r="F23" s="40"/>
      <c r="G23" s="40"/>
      <c r="H23" s="40"/>
      <c r="I23" s="40"/>
      <c r="J23" s="40"/>
      <c r="K23" s="40">
        <f>J22</f>
        <v>11960</v>
      </c>
      <c r="L23" s="40"/>
      <c r="M23" s="40">
        <f>L22</f>
        <v>47840</v>
      </c>
      <c r="N23" s="40"/>
      <c r="O23" s="44">
        <f>N22</f>
        <v>59800</v>
      </c>
      <c r="P23" s="37"/>
      <c r="Q23" s="37"/>
      <c r="R23" s="37"/>
      <c r="S23" s="37"/>
      <c r="T23" s="37"/>
      <c r="W23" s="40">
        <f>V22</f>
        <v>0</v>
      </c>
      <c r="X23" s="40"/>
      <c r="Y23" s="40">
        <f>X22</f>
        <v>0</v>
      </c>
      <c r="Z23" s="40"/>
      <c r="AA23" s="44">
        <f>Z22</f>
        <v>0</v>
      </c>
    </row>
    <row r="24" spans="1:30">
      <c r="C24" s="39" t="s">
        <v>339</v>
      </c>
      <c r="D24" s="40"/>
      <c r="E24" s="40"/>
      <c r="F24" s="40"/>
      <c r="G24" s="40"/>
      <c r="H24" s="40"/>
      <c r="I24" s="40"/>
      <c r="J24" s="40"/>
      <c r="K24" s="40">
        <f>IF('Tableau simu'!B10="Oui",1,0)</f>
        <v>1</v>
      </c>
      <c r="L24" s="40"/>
      <c r="M24" s="40"/>
      <c r="N24" s="40"/>
      <c r="O24" s="43" t="s">
        <v>263</v>
      </c>
      <c r="P24" s="37"/>
      <c r="Q24" s="37"/>
      <c r="R24" s="37"/>
      <c r="S24" s="37"/>
      <c r="T24" s="37"/>
      <c r="W24" s="40">
        <f>IF('Tableau simu'!C10="Oui",1,0)</f>
        <v>1</v>
      </c>
      <c r="AA24" s="43" t="s">
        <v>263</v>
      </c>
    </row>
    <row r="25" spans="1:30">
      <c r="C25" s="37" t="s">
        <v>332</v>
      </c>
      <c r="D25" s="40"/>
      <c r="E25" s="40"/>
      <c r="F25" s="40"/>
      <c r="G25" s="40"/>
      <c r="H25" s="40"/>
      <c r="I25" s="40"/>
      <c r="J25" s="40"/>
      <c r="K25" s="40">
        <f>IF($B$9=0,0,$K$24*$B$9*$A$2)</f>
        <v>11960</v>
      </c>
      <c r="L25" s="37"/>
      <c r="M25" s="40">
        <f>IF($B$10=0,0,$K$24*$B$10*$A$2)</f>
        <v>47840</v>
      </c>
      <c r="N25" s="40"/>
      <c r="O25" s="44">
        <f>IF($B$11=0,0,$K$24*$B$11*$A$2)</f>
        <v>59800</v>
      </c>
      <c r="P25" s="40"/>
      <c r="Q25" s="37"/>
      <c r="R25" s="37"/>
      <c r="S25" s="37"/>
      <c r="T25" s="37"/>
      <c r="W25" s="40">
        <f>IF($B$9=0,0,$W$24*$B$9*$A$4)</f>
        <v>0</v>
      </c>
      <c r="X25" s="40"/>
      <c r="Y25" s="40">
        <f>IF($B$10=0,0,$W$24*$B$10*$A$4)</f>
        <v>0</v>
      </c>
      <c r="Z25" s="40"/>
      <c r="AA25" s="44">
        <f>IF($B$11=0,0,$W$24*$B$11*$A$4)</f>
        <v>0</v>
      </c>
    </row>
    <row r="26" spans="1:30">
      <c r="C26" s="37" t="s">
        <v>333</v>
      </c>
      <c r="D26" s="40"/>
      <c r="E26" s="40"/>
      <c r="F26" s="40"/>
      <c r="G26" s="40"/>
      <c r="H26" s="40"/>
      <c r="I26" s="40"/>
      <c r="J26" s="40"/>
      <c r="K26" s="40"/>
      <c r="L26" s="40">
        <f>K25</f>
        <v>11960</v>
      </c>
      <c r="M26" s="40"/>
      <c r="N26" s="40">
        <f>M25</f>
        <v>47840</v>
      </c>
      <c r="O26" s="43"/>
      <c r="P26" s="41">
        <f>O25</f>
        <v>59800</v>
      </c>
      <c r="Q26" s="37"/>
      <c r="R26" s="37"/>
      <c r="S26" s="37"/>
      <c r="T26" s="37"/>
      <c r="X26" s="40">
        <f>W25</f>
        <v>0</v>
      </c>
      <c r="Y26" s="40"/>
      <c r="Z26" s="40">
        <f>Y25</f>
        <v>0</v>
      </c>
      <c r="AA26" s="43"/>
      <c r="AB26" s="41">
        <f>AA25</f>
        <v>0</v>
      </c>
    </row>
    <row r="27" spans="1:30">
      <c r="C27" s="39" t="s">
        <v>340</v>
      </c>
      <c r="D27" s="40"/>
      <c r="E27" s="40"/>
      <c r="F27" s="40"/>
      <c r="G27" s="40"/>
      <c r="H27" s="40"/>
      <c r="I27" s="40"/>
      <c r="J27" s="40"/>
      <c r="K27" s="40"/>
      <c r="L27" s="40">
        <f>IF('Tableau simu'!B11="Oui",1,0)</f>
        <v>1</v>
      </c>
      <c r="M27" s="40"/>
      <c r="N27" s="40"/>
      <c r="O27" s="43"/>
      <c r="P27" s="40" t="s">
        <v>263</v>
      </c>
      <c r="Q27" s="37"/>
      <c r="R27" s="37"/>
      <c r="S27" s="37"/>
      <c r="T27" s="37"/>
      <c r="X27" s="40">
        <f>IF('Tableau simu'!C11="Oui",1,0)</f>
        <v>1</v>
      </c>
      <c r="AB27" s="40" t="s">
        <v>263</v>
      </c>
    </row>
    <row r="28" spans="1:30">
      <c r="C28" s="37" t="s">
        <v>332</v>
      </c>
      <c r="D28" s="40"/>
      <c r="E28" s="40"/>
      <c r="F28" s="40"/>
      <c r="G28" s="40"/>
      <c r="H28" s="40"/>
      <c r="I28" s="40"/>
      <c r="J28" s="40"/>
      <c r="K28" s="40"/>
      <c r="L28" s="40">
        <f>IF($B$9=0,0,$L$27*$B$9*$A$2)</f>
        <v>11960</v>
      </c>
      <c r="M28" s="37"/>
      <c r="N28" s="40">
        <f>IF($B$10=0,0,$L$27*$B$10*$A$2)</f>
        <v>47840</v>
      </c>
      <c r="O28" s="43"/>
      <c r="P28" s="41">
        <f>IF($B$11=0,0,$L$27*$B$11*$A$2)</f>
        <v>59800</v>
      </c>
      <c r="Q28" s="40"/>
      <c r="R28" s="37"/>
      <c r="S28" s="37"/>
      <c r="T28" s="37"/>
      <c r="X28" s="40">
        <f>IF($B$9=0,0,$X$27*$B$9*$A$4)</f>
        <v>0</v>
      </c>
      <c r="Y28" s="40"/>
      <c r="Z28" s="40">
        <f>IF($B$10=0,0,$X$27*$B$10*$A$4)</f>
        <v>0</v>
      </c>
      <c r="AA28" s="43"/>
      <c r="AB28" s="41">
        <f>IF($B$11=0,0,$X$27*$B$11*$A$4)</f>
        <v>0</v>
      </c>
    </row>
    <row r="29" spans="1:30">
      <c r="A29" s="19"/>
      <c r="C29" s="37" t="s">
        <v>333</v>
      </c>
      <c r="D29" s="40"/>
      <c r="E29" s="40"/>
      <c r="F29" s="40"/>
      <c r="G29" s="40"/>
      <c r="H29" s="40"/>
      <c r="I29" s="40"/>
      <c r="J29" s="40"/>
      <c r="K29" s="40"/>
      <c r="L29" s="40"/>
      <c r="M29" s="40">
        <f>L28</f>
        <v>11960</v>
      </c>
      <c r="N29" s="40"/>
      <c r="O29" s="43">
        <f>N28</f>
        <v>47840</v>
      </c>
      <c r="P29" s="40"/>
      <c r="Q29" s="41">
        <f>P28</f>
        <v>59800</v>
      </c>
      <c r="R29" s="37"/>
      <c r="S29" s="37"/>
      <c r="T29" s="37"/>
      <c r="Y29" s="40">
        <f>X28</f>
        <v>0</v>
      </c>
      <c r="Z29" s="40"/>
      <c r="AA29" s="43">
        <f>Z28</f>
        <v>0</v>
      </c>
      <c r="AB29" s="40"/>
      <c r="AC29" s="41">
        <f>AB28</f>
        <v>0</v>
      </c>
    </row>
    <row r="30" spans="1:30">
      <c r="C30" s="39" t="s">
        <v>341</v>
      </c>
      <c r="D30" s="40"/>
      <c r="E30" s="40"/>
      <c r="F30" s="40"/>
      <c r="G30" s="40"/>
      <c r="H30" s="40"/>
      <c r="I30" s="40"/>
      <c r="J30" s="40"/>
      <c r="K30" s="40"/>
      <c r="L30" s="40"/>
      <c r="M30" s="40">
        <f>IF('Tableau simu'!B12="Oui",1,0)</f>
        <v>1</v>
      </c>
      <c r="N30" s="40"/>
      <c r="O30" s="43"/>
      <c r="P30" s="37"/>
      <c r="Q30" s="40" t="s">
        <v>263</v>
      </c>
      <c r="R30" s="37"/>
      <c r="S30" s="37"/>
      <c r="T30" s="37"/>
      <c r="Y30" s="40">
        <f>IF('Tableau simu'!C12="Oui",1,0)</f>
        <v>1</v>
      </c>
      <c r="AC30" s="40" t="s">
        <v>263</v>
      </c>
    </row>
    <row r="31" spans="1:30">
      <c r="C31" s="37" t="s">
        <v>332</v>
      </c>
      <c r="D31" s="40"/>
      <c r="E31" s="40"/>
      <c r="F31" s="40"/>
      <c r="G31" s="40"/>
      <c r="H31" s="40"/>
      <c r="I31" s="40"/>
      <c r="J31" s="40"/>
      <c r="K31" s="40"/>
      <c r="L31" s="40"/>
      <c r="M31" s="40">
        <f>IF($B$9=0,0,$M$30*$B$9*$A$2)</f>
        <v>11960</v>
      </c>
      <c r="N31" s="37"/>
      <c r="O31" s="43">
        <f>IF($B$10=0,0,$M$30*$B$10*$A$2)</f>
        <v>47840</v>
      </c>
      <c r="P31" s="40"/>
      <c r="Q31" s="41">
        <f>IF($B$11=0,0,$M$30*$B$11*$A$2)</f>
        <v>59800</v>
      </c>
      <c r="R31" s="40"/>
      <c r="S31" s="37"/>
      <c r="T31" s="37"/>
      <c r="Y31" s="40">
        <f>IF($B$9=0,0,$Y$30*$B$9*$A$4)</f>
        <v>0</v>
      </c>
      <c r="Z31" s="40"/>
      <c r="AA31" s="43">
        <f>IF($B$10=0,0,$Y$30*$B$10*$A$4)</f>
        <v>0</v>
      </c>
      <c r="AB31" s="40"/>
      <c r="AC31" s="41">
        <f>IF($B$11=0,0,$Y$30*$B$11*$A$4)</f>
        <v>0</v>
      </c>
    </row>
    <row r="32" spans="1:30">
      <c r="C32" s="37" t="s">
        <v>333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f>M31</f>
        <v>11960</v>
      </c>
      <c r="O32" s="43"/>
      <c r="P32" s="40">
        <f>O31</f>
        <v>47840</v>
      </c>
      <c r="Q32" s="40"/>
      <c r="R32" s="41">
        <f>Q31</f>
        <v>59800</v>
      </c>
      <c r="S32" s="37"/>
      <c r="T32" s="37"/>
      <c r="Z32" s="40">
        <f>Y31</f>
        <v>0</v>
      </c>
      <c r="AA32" s="43"/>
      <c r="AB32" s="40">
        <f>AA31</f>
        <v>0</v>
      </c>
      <c r="AC32" s="40"/>
      <c r="AD32" s="41">
        <f>AC31</f>
        <v>0</v>
      </c>
    </row>
    <row r="33" spans="3:35">
      <c r="C33" s="39" t="s">
        <v>342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>
        <f>IF('Tableau simu'!B13="Oui",1,0)</f>
        <v>1</v>
      </c>
      <c r="O33" s="43"/>
      <c r="P33" s="37"/>
      <c r="Q33" s="37"/>
      <c r="R33" s="40" t="s">
        <v>263</v>
      </c>
      <c r="S33" s="37"/>
      <c r="T33" s="37"/>
      <c r="Z33" s="40">
        <f>IF('Tableau simu'!C13="Oui",1,0)</f>
        <v>1</v>
      </c>
      <c r="AD33" s="40" t="s">
        <v>263</v>
      </c>
    </row>
    <row r="34" spans="3:35">
      <c r="C34" s="37" t="s">
        <v>332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>
        <f>IF($B$9=0,0,$N$33*$B$9*$A$2)</f>
        <v>11960</v>
      </c>
      <c r="O34" s="42"/>
      <c r="P34" s="40">
        <f>IF($B$10=0,0,$N$33*$B$10*$A$2)</f>
        <v>47840</v>
      </c>
      <c r="Q34" s="40"/>
      <c r="R34" s="41">
        <f>IF($B$11=0,0,$N$33*$B$11*$A$2)</f>
        <v>59800</v>
      </c>
      <c r="S34" s="40"/>
      <c r="T34" s="37"/>
      <c r="Z34" s="40">
        <f>IF($B$9=0,0,$Z$33*$B$9*$A$4)</f>
        <v>0</v>
      </c>
      <c r="AA34" s="43"/>
      <c r="AB34" s="40">
        <f>IF($B$10=0,0,$Z$33*$B$10*$A$4)</f>
        <v>0</v>
      </c>
      <c r="AC34" s="40"/>
      <c r="AD34" s="41">
        <f>IF($B$11=0,0,$Z$33*$B$11*$A$4)</f>
        <v>0</v>
      </c>
    </row>
    <row r="35" spans="3:35">
      <c r="C35" s="37" t="s">
        <v>333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3">
        <f>N34</f>
        <v>11960</v>
      </c>
      <c r="P35" s="40"/>
      <c r="Q35" s="40">
        <f>P34</f>
        <v>47840</v>
      </c>
      <c r="R35" s="40"/>
      <c r="S35" s="41">
        <f>R34</f>
        <v>59800</v>
      </c>
      <c r="T35" s="37"/>
      <c r="AA35" s="43">
        <f>Z34</f>
        <v>0</v>
      </c>
      <c r="AB35" s="40"/>
      <c r="AC35" s="40">
        <f>AB34</f>
        <v>0</v>
      </c>
      <c r="AD35" s="40"/>
      <c r="AE35" s="41">
        <f>AD34</f>
        <v>0</v>
      </c>
    </row>
    <row r="36" spans="3:35">
      <c r="C36" s="39" t="s">
        <v>343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3">
        <f>IF('Tableau simu'!B14="Oui",1,0)</f>
        <v>1</v>
      </c>
      <c r="P36" s="37"/>
      <c r="Q36" s="37"/>
      <c r="R36" s="37"/>
      <c r="S36" s="40" t="s">
        <v>263</v>
      </c>
      <c r="T36" s="37"/>
      <c r="AA36" s="43">
        <f>IF('Tableau simu'!C14="Oui",1,0)</f>
        <v>1</v>
      </c>
      <c r="AE36" s="40" t="s">
        <v>263</v>
      </c>
    </row>
    <row r="37" spans="3:35">
      <c r="C37" s="37" t="s">
        <v>332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3">
        <f>IF($B$9=0,0,$O$36*$B$9*$A$2)</f>
        <v>11960</v>
      </c>
      <c r="P37" s="37"/>
      <c r="Q37" s="40">
        <f>IF($B$10=0,0,$O$36*$B$10*$A$2)</f>
        <v>47840</v>
      </c>
      <c r="R37" s="40"/>
      <c r="S37" s="41">
        <f>IF($B$11=0,0,$O$36*$B$11*$A$2)</f>
        <v>59800</v>
      </c>
      <c r="T37" s="40"/>
      <c r="AA37" s="43">
        <f>IF($B$9=0,0,$AA$36*$B$9*$A$4)</f>
        <v>0</v>
      </c>
      <c r="AB37" s="40"/>
      <c r="AC37" s="40">
        <f>IF($B$10=0,0,$AA$36*$B$10*$A$4)</f>
        <v>0</v>
      </c>
      <c r="AD37" s="40"/>
      <c r="AE37" s="41">
        <f>IF($B$11=0,0,$AA$36*$B$11*$A$4)</f>
        <v>0</v>
      </c>
    </row>
    <row r="38" spans="3:35">
      <c r="C38" s="37" t="s">
        <v>333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3"/>
      <c r="P38" s="40">
        <f>O37</f>
        <v>11960</v>
      </c>
      <c r="Q38" s="40"/>
      <c r="R38" s="40">
        <f>Q37</f>
        <v>47840</v>
      </c>
      <c r="S38" s="40"/>
      <c r="T38" s="41">
        <f>S37</f>
        <v>59800</v>
      </c>
      <c r="AB38" s="40">
        <f>AA37</f>
        <v>0</v>
      </c>
      <c r="AC38" s="40"/>
      <c r="AD38" s="40">
        <f>AC37</f>
        <v>0</v>
      </c>
      <c r="AE38" s="40"/>
      <c r="AF38" s="41">
        <f>AE37</f>
        <v>0</v>
      </c>
    </row>
    <row r="39" spans="3:35">
      <c r="C39" s="37" t="s">
        <v>510</v>
      </c>
      <c r="D39" s="28">
        <f>D4+D7+D10+D13+D16+D19+D22+D25+D28+D31+D34+D37</f>
        <v>0</v>
      </c>
      <c r="E39" s="28">
        <f t="shared" ref="E39:AG39" si="0">E4+E7+E10+E13+E16+E19+E22+E25+E28+E31+E34+E37</f>
        <v>0</v>
      </c>
      <c r="F39" s="28">
        <f t="shared" si="0"/>
        <v>11960</v>
      </c>
      <c r="G39" s="28">
        <f t="shared" si="0"/>
        <v>11960</v>
      </c>
      <c r="H39" s="28">
        <f t="shared" si="0"/>
        <v>59800</v>
      </c>
      <c r="I39" s="28">
        <f t="shared" si="0"/>
        <v>59800</v>
      </c>
      <c r="J39" s="28">
        <f t="shared" si="0"/>
        <v>119600</v>
      </c>
      <c r="K39" s="28">
        <f t="shared" si="0"/>
        <v>119600</v>
      </c>
      <c r="L39" s="28">
        <f t="shared" si="0"/>
        <v>119600</v>
      </c>
      <c r="M39" s="28">
        <f t="shared" si="0"/>
        <v>119600</v>
      </c>
      <c r="N39" s="28">
        <f t="shared" si="0"/>
        <v>119600</v>
      </c>
      <c r="O39" s="86">
        <f t="shared" si="0"/>
        <v>119600</v>
      </c>
      <c r="P39" s="28">
        <f t="shared" si="0"/>
        <v>107640</v>
      </c>
      <c r="Q39" s="28">
        <f t="shared" si="0"/>
        <v>107640</v>
      </c>
      <c r="R39" s="28">
        <f t="shared" si="0"/>
        <v>59800</v>
      </c>
      <c r="S39" s="28">
        <f t="shared" si="0"/>
        <v>59800</v>
      </c>
      <c r="T39" s="28">
        <f t="shared" si="0"/>
        <v>0</v>
      </c>
      <c r="U39" s="28">
        <f t="shared" si="0"/>
        <v>0</v>
      </c>
      <c r="V39" s="28">
        <f t="shared" si="0"/>
        <v>0</v>
      </c>
      <c r="W39" s="28">
        <f t="shared" si="0"/>
        <v>0</v>
      </c>
      <c r="X39" s="28">
        <f t="shared" si="0"/>
        <v>0</v>
      </c>
      <c r="Y39" s="28">
        <f t="shared" si="0"/>
        <v>0</v>
      </c>
      <c r="Z39" s="28">
        <f t="shared" si="0"/>
        <v>0</v>
      </c>
      <c r="AA39" s="86">
        <f t="shared" si="0"/>
        <v>0</v>
      </c>
      <c r="AB39" s="28">
        <f t="shared" si="0"/>
        <v>0</v>
      </c>
      <c r="AC39" s="28">
        <f t="shared" si="0"/>
        <v>0</v>
      </c>
      <c r="AD39" s="28">
        <f t="shared" si="0"/>
        <v>0</v>
      </c>
      <c r="AE39" s="28">
        <f t="shared" si="0"/>
        <v>0</v>
      </c>
      <c r="AF39" s="28">
        <f t="shared" si="0"/>
        <v>0</v>
      </c>
      <c r="AG39" s="28">
        <f t="shared" si="0"/>
        <v>0</v>
      </c>
    </row>
    <row r="40" spans="3:35">
      <c r="C40" s="37" t="s">
        <v>344</v>
      </c>
      <c r="D40" s="28">
        <f>D5+D8+D11+D14+D17+D20+D23+D26+D29+D32+D35+D38</f>
        <v>0</v>
      </c>
      <c r="E40" s="28">
        <f t="shared" ref="E40:AI40" si="1">E5+E8+E11+E14+E17+E20+E23+E26+E29+E32+E35+E38</f>
        <v>0</v>
      </c>
      <c r="F40" s="28">
        <f t="shared" si="1"/>
        <v>0</v>
      </c>
      <c r="G40" s="28">
        <f t="shared" si="1"/>
        <v>11960</v>
      </c>
      <c r="H40" s="28">
        <f t="shared" si="1"/>
        <v>11960</v>
      </c>
      <c r="I40" s="28">
        <f t="shared" si="1"/>
        <v>59800</v>
      </c>
      <c r="J40" s="28">
        <f t="shared" si="1"/>
        <v>59800</v>
      </c>
      <c r="K40" s="28">
        <f t="shared" si="1"/>
        <v>119600</v>
      </c>
      <c r="L40" s="28">
        <f t="shared" si="1"/>
        <v>119600</v>
      </c>
      <c r="M40" s="28">
        <f t="shared" si="1"/>
        <v>119600</v>
      </c>
      <c r="N40" s="28">
        <f t="shared" si="1"/>
        <v>119600</v>
      </c>
      <c r="O40" s="86">
        <f t="shared" si="1"/>
        <v>119600</v>
      </c>
      <c r="P40" s="28">
        <f t="shared" si="1"/>
        <v>119600</v>
      </c>
      <c r="Q40" s="28">
        <f t="shared" si="1"/>
        <v>107640</v>
      </c>
      <c r="R40" s="28">
        <f t="shared" si="1"/>
        <v>107640</v>
      </c>
      <c r="S40" s="28">
        <f t="shared" si="1"/>
        <v>59800</v>
      </c>
      <c r="T40" s="28">
        <f t="shared" si="1"/>
        <v>59800</v>
      </c>
      <c r="U40" s="28">
        <f t="shared" si="1"/>
        <v>0</v>
      </c>
      <c r="V40" s="28">
        <f t="shared" si="1"/>
        <v>0</v>
      </c>
      <c r="W40" s="28">
        <f t="shared" si="1"/>
        <v>0</v>
      </c>
      <c r="X40" s="28">
        <f t="shared" si="1"/>
        <v>0</v>
      </c>
      <c r="Y40" s="28">
        <f t="shared" si="1"/>
        <v>0</v>
      </c>
      <c r="Z40" s="28">
        <f t="shared" si="1"/>
        <v>0</v>
      </c>
      <c r="AA40" s="86">
        <f t="shared" si="1"/>
        <v>0</v>
      </c>
      <c r="AB40" s="28">
        <f t="shared" si="1"/>
        <v>0</v>
      </c>
      <c r="AC40" s="28">
        <f t="shared" si="1"/>
        <v>0</v>
      </c>
      <c r="AD40" s="28">
        <f t="shared" si="1"/>
        <v>0</v>
      </c>
      <c r="AE40" s="28">
        <f t="shared" si="1"/>
        <v>0</v>
      </c>
      <c r="AF40" s="28">
        <f t="shared" si="1"/>
        <v>0</v>
      </c>
      <c r="AG40" s="28">
        <f t="shared" si="1"/>
        <v>0</v>
      </c>
      <c r="AH40" s="28">
        <f t="shared" si="1"/>
        <v>0</v>
      </c>
      <c r="AI40" s="28">
        <f t="shared" si="1"/>
        <v>0</v>
      </c>
    </row>
    <row r="41" spans="3:35">
      <c r="C41" s="1" t="s">
        <v>424</v>
      </c>
    </row>
    <row r="42" spans="3:35">
      <c r="C42" s="19" t="s">
        <v>420</v>
      </c>
      <c r="P42" s="129">
        <f>IF('Tableau simu'!D3="Oui",1,0)</f>
        <v>0</v>
      </c>
      <c r="U42" s="40" t="s">
        <v>263</v>
      </c>
    </row>
    <row r="43" spans="3:35">
      <c r="C43" s="37" t="s">
        <v>422</v>
      </c>
      <c r="P43" s="41">
        <f>IF($B$9=0,0,$P$42*$B$9*$A$6)</f>
        <v>0</v>
      </c>
      <c r="Q43" s="28"/>
      <c r="R43" s="28"/>
      <c r="S43" s="61">
        <f>IF($B$10=0,0,$P$42*$B$10*$A$6)</f>
        <v>0</v>
      </c>
      <c r="T43" s="28"/>
      <c r="U43" s="41">
        <f>IF($B$11=0,0,$P$42*$B$11*$A$6)</f>
        <v>0</v>
      </c>
      <c r="V43" s="28"/>
      <c r="W43" s="28"/>
      <c r="X43" s="28"/>
      <c r="Y43" s="28"/>
      <c r="Z43" s="28"/>
      <c r="AA43" s="86"/>
      <c r="AB43" s="28"/>
      <c r="AC43" s="28"/>
      <c r="AD43" s="28"/>
    </row>
    <row r="44" spans="3:35" ht="12.75" customHeight="1">
      <c r="C44" s="37" t="s">
        <v>333</v>
      </c>
      <c r="P44" s="28"/>
      <c r="Q44" s="28">
        <f>P43</f>
        <v>0</v>
      </c>
      <c r="R44" s="28"/>
      <c r="S44" s="28"/>
      <c r="T44" s="28">
        <f>S43</f>
        <v>0</v>
      </c>
      <c r="U44" s="28"/>
      <c r="V44" s="28">
        <f>U43</f>
        <v>0</v>
      </c>
      <c r="W44" s="28"/>
      <c r="X44" s="28"/>
      <c r="Y44" s="28"/>
      <c r="Z44" s="28"/>
      <c r="AA44" s="86"/>
      <c r="AB44" s="28"/>
      <c r="AC44" s="28"/>
      <c r="AD44" s="28"/>
    </row>
    <row r="45" spans="3:35" ht="12.75" customHeight="1">
      <c r="C45" s="19" t="s">
        <v>421</v>
      </c>
      <c r="H45" s="62"/>
      <c r="I45" s="62"/>
      <c r="J45" s="62"/>
      <c r="K45" s="62"/>
      <c r="L45" s="62"/>
      <c r="M45" s="62"/>
      <c r="N45" s="62"/>
      <c r="O45" s="63"/>
      <c r="P45" s="28"/>
      <c r="Q45" s="129">
        <f>IF('Tableau simu'!D4="Oui",1,0)</f>
        <v>1</v>
      </c>
      <c r="R45" s="28"/>
      <c r="S45" s="28"/>
      <c r="T45" s="28"/>
      <c r="U45" s="28"/>
      <c r="V45" s="41" t="s">
        <v>263</v>
      </c>
      <c r="W45" s="28"/>
      <c r="X45" s="28"/>
      <c r="Y45" s="28"/>
      <c r="Z45" s="28"/>
      <c r="AA45" s="86"/>
      <c r="AB45" s="28"/>
      <c r="AC45" s="28"/>
      <c r="AD45" s="28"/>
    </row>
    <row r="46" spans="3:35" ht="12.75" customHeight="1">
      <c r="C46" s="37" t="s">
        <v>332</v>
      </c>
      <c r="H46" s="62"/>
      <c r="I46" s="62"/>
      <c r="J46" s="62"/>
      <c r="K46" s="62"/>
      <c r="L46" s="62"/>
      <c r="M46" s="62"/>
      <c r="N46" s="62"/>
      <c r="O46" s="63"/>
      <c r="P46" s="28"/>
      <c r="Q46" s="41">
        <f>IF($B$9=0,0,$Q$45*$B$9*$A$6)</f>
        <v>0</v>
      </c>
      <c r="R46" s="28"/>
      <c r="S46" s="28"/>
      <c r="T46" s="61">
        <f>IF($B$10=0,0,$Q$45*$B$10*$A$6)</f>
        <v>0</v>
      </c>
      <c r="U46" s="28"/>
      <c r="V46" s="41">
        <f>IF($B$11=0,0,$Q$45*$B$11*$A$6)</f>
        <v>0</v>
      </c>
      <c r="W46" s="28"/>
      <c r="X46" s="28"/>
      <c r="Y46" s="28"/>
      <c r="Z46" s="28"/>
      <c r="AA46" s="86"/>
      <c r="AB46" s="28"/>
      <c r="AC46" s="28"/>
      <c r="AD46" s="28"/>
    </row>
    <row r="47" spans="3:35">
      <c r="C47" s="37" t="s">
        <v>333</v>
      </c>
      <c r="P47" s="28"/>
      <c r="Q47" s="28"/>
      <c r="R47" s="28">
        <f>Q46</f>
        <v>0</v>
      </c>
      <c r="S47" s="28"/>
      <c r="T47" s="28"/>
      <c r="U47" s="28">
        <f>T46</f>
        <v>0</v>
      </c>
      <c r="V47" s="28"/>
      <c r="W47" s="28">
        <f>V46</f>
        <v>0</v>
      </c>
      <c r="X47" s="28"/>
      <c r="Y47" s="28"/>
      <c r="Z47" s="28"/>
      <c r="AA47" s="86"/>
      <c r="AB47" s="28"/>
      <c r="AC47" s="28"/>
      <c r="AD47" s="28"/>
    </row>
    <row r="48" spans="3:35">
      <c r="C48" s="39" t="s">
        <v>334</v>
      </c>
      <c r="P48" s="28"/>
      <c r="Q48" s="28"/>
      <c r="R48" s="129">
        <f>IF('Tableau simu'!D5="Oui",1,0)</f>
        <v>0</v>
      </c>
      <c r="S48" s="28"/>
      <c r="T48" s="28"/>
      <c r="U48" s="28"/>
      <c r="V48" s="28"/>
      <c r="W48" s="41" t="s">
        <v>263</v>
      </c>
      <c r="X48" s="28"/>
      <c r="Y48" s="28"/>
      <c r="Z48" s="28"/>
      <c r="AA48" s="86"/>
      <c r="AB48" s="28"/>
      <c r="AC48" s="28"/>
      <c r="AD48" s="28"/>
    </row>
    <row r="49" spans="3:30">
      <c r="C49" s="37" t="s">
        <v>332</v>
      </c>
      <c r="P49" s="28"/>
      <c r="Q49" s="28"/>
      <c r="R49" s="41">
        <f>IF($B$9=0,0,$R$48*$B$9*$A$6)</f>
        <v>0</v>
      </c>
      <c r="S49" s="28"/>
      <c r="U49" s="61">
        <f>IF($B$10=0,0,$R$48*$B$10*$A$6)</f>
        <v>0</v>
      </c>
      <c r="W49" s="41">
        <f>IF($B$11=0,0,$R$48*$B$11*$A$6)</f>
        <v>0</v>
      </c>
      <c r="X49" s="28"/>
      <c r="Y49" s="28"/>
      <c r="Z49" s="28"/>
      <c r="AA49" s="86"/>
      <c r="AB49" s="28"/>
      <c r="AC49" s="28"/>
      <c r="AD49" s="28"/>
    </row>
    <row r="50" spans="3:30">
      <c r="C50" s="37" t="s">
        <v>333</v>
      </c>
      <c r="P50" s="28"/>
      <c r="Q50" s="28"/>
      <c r="R50" s="28"/>
      <c r="S50" s="28">
        <f>R49</f>
        <v>0</v>
      </c>
      <c r="T50" s="28"/>
      <c r="U50" s="28"/>
      <c r="V50" s="28">
        <f>U49</f>
        <v>0</v>
      </c>
      <c r="W50" s="28"/>
      <c r="X50" s="28">
        <f>W49</f>
        <v>0</v>
      </c>
      <c r="Y50" s="28"/>
      <c r="Z50" s="28"/>
      <c r="AA50" s="86"/>
      <c r="AB50" s="28"/>
      <c r="AC50" s="28"/>
      <c r="AD50" s="28"/>
    </row>
    <row r="51" spans="3:30">
      <c r="C51" s="39" t="s">
        <v>335</v>
      </c>
      <c r="P51" s="28"/>
      <c r="Q51" s="28"/>
      <c r="R51" s="28"/>
      <c r="S51" s="129">
        <f>IF('Tableau simu'!D6="Oui",1,0)</f>
        <v>1</v>
      </c>
      <c r="T51" s="28"/>
      <c r="U51" s="28"/>
      <c r="V51" s="28"/>
      <c r="W51" s="28"/>
      <c r="X51" s="41" t="s">
        <v>263</v>
      </c>
      <c r="Y51" s="28"/>
      <c r="Z51" s="28"/>
      <c r="AA51" s="86"/>
      <c r="AB51" s="28"/>
      <c r="AC51" s="28"/>
      <c r="AD51" s="28"/>
    </row>
    <row r="52" spans="3:30">
      <c r="C52" s="37" t="s">
        <v>332</v>
      </c>
      <c r="P52" s="28"/>
      <c r="Q52" s="28"/>
      <c r="R52" s="28"/>
      <c r="S52" s="41">
        <f>IF($B$9=0,0,$S$51*$B$9*$A$6)</f>
        <v>0</v>
      </c>
      <c r="T52" s="28"/>
      <c r="U52" s="28"/>
      <c r="V52" s="61">
        <f>IF($B$10=0,0,$S$51*$B$10*$A$6)</f>
        <v>0</v>
      </c>
      <c r="W52" s="28"/>
      <c r="X52" s="41">
        <f>IF($B$11=0,0,$S$51*$B$11*$A$6)</f>
        <v>0</v>
      </c>
      <c r="Y52" s="28"/>
      <c r="Z52" s="28"/>
      <c r="AA52" s="86"/>
      <c r="AB52" s="28"/>
      <c r="AC52" s="28"/>
      <c r="AD52" s="28"/>
    </row>
    <row r="53" spans="3:30">
      <c r="C53" s="37" t="s">
        <v>333</v>
      </c>
      <c r="P53" s="28"/>
      <c r="Q53" s="28"/>
      <c r="R53" s="28"/>
      <c r="S53" s="28"/>
      <c r="T53" s="28">
        <f>S52</f>
        <v>0</v>
      </c>
      <c r="U53" s="28"/>
      <c r="V53" s="28"/>
      <c r="W53" s="28">
        <f>V52</f>
        <v>0</v>
      </c>
      <c r="X53" s="28"/>
      <c r="Y53" s="28">
        <f>X52</f>
        <v>0</v>
      </c>
      <c r="Z53" s="28"/>
      <c r="AA53" s="86"/>
      <c r="AB53" s="28"/>
      <c r="AC53" s="28"/>
      <c r="AD53" s="28"/>
    </row>
    <row r="54" spans="3:30">
      <c r="C54" s="39" t="s">
        <v>336</v>
      </c>
      <c r="P54" s="28"/>
      <c r="Q54" s="28"/>
      <c r="R54" s="28"/>
      <c r="S54" s="28"/>
      <c r="T54" s="129">
        <f>IF('Tableau simu'!D7="Oui",1,0)</f>
        <v>0</v>
      </c>
      <c r="U54" s="28"/>
      <c r="V54" s="28"/>
      <c r="W54" s="28"/>
      <c r="X54" s="28"/>
      <c r="Y54" s="41" t="s">
        <v>263</v>
      </c>
      <c r="Z54" s="28"/>
      <c r="AA54" s="86"/>
      <c r="AB54" s="28"/>
      <c r="AC54" s="28"/>
      <c r="AD54" s="28"/>
    </row>
    <row r="55" spans="3:30">
      <c r="C55" s="37" t="s">
        <v>332</v>
      </c>
      <c r="P55" s="28"/>
      <c r="Q55" s="28"/>
      <c r="R55" s="28"/>
      <c r="S55" s="28"/>
      <c r="T55" s="41">
        <f>IF($B$9=0,0,$T$54*$B$9*$A$6)</f>
        <v>0</v>
      </c>
      <c r="U55" s="28"/>
      <c r="W55" s="61">
        <f>IF($B$10=0,0,$T$54*$B$10*$A$6)</f>
        <v>0</v>
      </c>
      <c r="Y55" s="41">
        <f>IF($B$11=0,0,$T$54*$B$11*$A$6)</f>
        <v>0</v>
      </c>
      <c r="Z55" s="28"/>
      <c r="AA55" s="86"/>
      <c r="AB55" s="28"/>
      <c r="AC55" s="28"/>
      <c r="AD55" s="28"/>
    </row>
    <row r="56" spans="3:30">
      <c r="C56" s="37" t="s">
        <v>333</v>
      </c>
      <c r="P56" s="28"/>
      <c r="Q56" s="28"/>
      <c r="R56" s="28"/>
      <c r="S56" s="28"/>
      <c r="T56" s="28"/>
      <c r="U56" s="28">
        <f>T55</f>
        <v>0</v>
      </c>
      <c r="V56" s="28"/>
      <c r="W56" s="28"/>
      <c r="X56" s="28">
        <f>W55</f>
        <v>0</v>
      </c>
      <c r="Y56" s="28"/>
      <c r="Z56" s="28">
        <f>Y55</f>
        <v>0</v>
      </c>
      <c r="AA56" s="86"/>
      <c r="AB56" s="28"/>
      <c r="AC56" s="28"/>
      <c r="AD56" s="28"/>
    </row>
    <row r="57" spans="3:30">
      <c r="C57" s="39" t="s">
        <v>337</v>
      </c>
      <c r="P57" s="28"/>
      <c r="Q57" s="28"/>
      <c r="R57" s="28"/>
      <c r="S57" s="28"/>
      <c r="T57" s="28"/>
      <c r="U57" s="129">
        <f>IF('Tableau simu'!D8="Oui",1,0)</f>
        <v>1</v>
      </c>
      <c r="V57" s="28"/>
      <c r="W57" s="28"/>
      <c r="X57" s="28"/>
      <c r="Y57" s="28"/>
      <c r="Z57" s="41" t="s">
        <v>263</v>
      </c>
      <c r="AA57" s="86"/>
      <c r="AB57" s="28"/>
      <c r="AC57" s="28"/>
      <c r="AD57" s="28"/>
    </row>
    <row r="58" spans="3:30">
      <c r="C58" s="37" t="s">
        <v>332</v>
      </c>
      <c r="P58" s="28"/>
      <c r="Q58" s="28"/>
      <c r="R58" s="28"/>
      <c r="S58" s="28"/>
      <c r="T58" s="28"/>
      <c r="U58" s="41">
        <f>IF($B$9=0,0,$U$57*$B$9*$A$6)</f>
        <v>0</v>
      </c>
      <c r="V58" s="28"/>
      <c r="W58" s="28"/>
      <c r="X58" s="61">
        <f>IF($B$10=0,0,$U$57*$B$10*$A$6)</f>
        <v>0</v>
      </c>
      <c r="Y58" s="28"/>
      <c r="Z58" s="41">
        <f>IF($B$11=0,0,$U$57*$B$11*$A$6)</f>
        <v>0</v>
      </c>
      <c r="AA58" s="86"/>
      <c r="AB58" s="28"/>
      <c r="AC58" s="28"/>
      <c r="AD58" s="28"/>
    </row>
    <row r="59" spans="3:30">
      <c r="C59" s="37" t="s">
        <v>333</v>
      </c>
      <c r="P59" s="28"/>
      <c r="Q59" s="28"/>
      <c r="R59" s="28"/>
      <c r="S59" s="28"/>
      <c r="T59" s="28"/>
      <c r="U59" s="28"/>
      <c r="V59" s="28">
        <f>U58</f>
        <v>0</v>
      </c>
      <c r="W59" s="28"/>
      <c r="X59" s="28"/>
      <c r="Y59" s="28">
        <f>X58</f>
        <v>0</v>
      </c>
      <c r="Z59" s="28"/>
      <c r="AA59" s="86">
        <f>Z58</f>
        <v>0</v>
      </c>
      <c r="AB59" s="28"/>
      <c r="AC59" s="28"/>
      <c r="AD59" s="28"/>
    </row>
    <row r="60" spans="3:30">
      <c r="C60" s="39" t="s">
        <v>338</v>
      </c>
      <c r="P60" s="28"/>
      <c r="Q60" s="28"/>
      <c r="R60" s="28"/>
      <c r="S60" s="28"/>
      <c r="T60" s="28"/>
      <c r="U60" s="28"/>
      <c r="V60" s="129">
        <f>IF('Tableau simu'!D9="Oui",1,0)</f>
        <v>0</v>
      </c>
      <c r="W60" s="28"/>
      <c r="X60" s="28"/>
      <c r="Y60" s="28"/>
      <c r="Z60" s="28"/>
      <c r="AA60" s="44" t="s">
        <v>263</v>
      </c>
      <c r="AB60" s="28"/>
      <c r="AC60" s="28"/>
      <c r="AD60" s="28"/>
    </row>
    <row r="61" spans="3:30">
      <c r="C61" s="37" t="s">
        <v>332</v>
      </c>
      <c r="P61" s="28"/>
      <c r="Q61" s="28"/>
      <c r="R61" s="28"/>
      <c r="S61" s="28"/>
      <c r="T61" s="28"/>
      <c r="U61" s="28"/>
      <c r="V61" s="41">
        <f>IF($B$9=0,0,$V$60*$B$9*$A$6)</f>
        <v>0</v>
      </c>
      <c r="W61" s="28"/>
      <c r="Y61" s="61">
        <f>IF($B$10=0,0,$V$60*$B$10*$A$6)</f>
        <v>0</v>
      </c>
      <c r="AA61" s="44">
        <f>IF($B$11=0,0,$V$60*$B$11*$A$6)</f>
        <v>0</v>
      </c>
      <c r="AB61" s="28"/>
      <c r="AC61" s="28"/>
      <c r="AD61" s="28"/>
    </row>
    <row r="62" spans="3:30">
      <c r="C62" s="37" t="s">
        <v>333</v>
      </c>
      <c r="P62" s="28"/>
      <c r="Q62" s="28"/>
      <c r="R62" s="28"/>
      <c r="S62" s="28"/>
      <c r="T62" s="28"/>
      <c r="U62" s="28"/>
      <c r="V62" s="28"/>
      <c r="W62" s="28">
        <f>V61</f>
        <v>0</v>
      </c>
      <c r="X62" s="28"/>
      <c r="Y62" s="28"/>
      <c r="Z62" s="28">
        <f>Y61</f>
        <v>0</v>
      </c>
      <c r="AA62" s="86"/>
      <c r="AB62" s="28">
        <f>AA61</f>
        <v>0</v>
      </c>
      <c r="AC62" s="28"/>
      <c r="AD62" s="28"/>
    </row>
    <row r="63" spans="3:30">
      <c r="C63" s="39" t="s">
        <v>339</v>
      </c>
      <c r="P63" s="28"/>
      <c r="Q63" s="28"/>
      <c r="R63" s="28"/>
      <c r="S63" s="28"/>
      <c r="T63" s="28"/>
      <c r="U63" s="28"/>
      <c r="V63" s="28"/>
      <c r="W63" s="129">
        <f>IF('Tableau simu'!D10="Oui",1,0)</f>
        <v>1</v>
      </c>
      <c r="X63" s="28"/>
      <c r="Y63" s="28"/>
      <c r="Z63" s="28"/>
      <c r="AA63" s="86"/>
      <c r="AB63" s="41" t="s">
        <v>263</v>
      </c>
      <c r="AC63" s="28"/>
      <c r="AD63" s="28"/>
    </row>
    <row r="64" spans="3:30">
      <c r="C64" s="37" t="s">
        <v>332</v>
      </c>
      <c r="P64" s="28"/>
      <c r="Q64" s="28"/>
      <c r="R64" s="28"/>
      <c r="S64" s="28"/>
      <c r="T64" s="28"/>
      <c r="U64" s="28"/>
      <c r="V64" s="28"/>
      <c r="W64" s="41">
        <f>IF($B$9=0,0,$W$63*$B$9*$A$6)</f>
        <v>0</v>
      </c>
      <c r="X64" s="28"/>
      <c r="Y64" s="28"/>
      <c r="Z64" s="61">
        <f>IF($B$10=0,0,$W$63*$B$10*$A$6)</f>
        <v>0</v>
      </c>
      <c r="AA64" s="86"/>
      <c r="AB64" s="41">
        <f>IF($B$11=0,0,$W$63*$B$11*$A$6)</f>
        <v>0</v>
      </c>
      <c r="AC64" s="28"/>
      <c r="AD64" s="28"/>
    </row>
    <row r="65" spans="3:34">
      <c r="C65" s="37" t="s">
        <v>333</v>
      </c>
      <c r="P65" s="28"/>
      <c r="Q65" s="28"/>
      <c r="R65" s="28"/>
      <c r="S65" s="28"/>
      <c r="T65" s="28"/>
      <c r="U65" s="28"/>
      <c r="V65" s="28"/>
      <c r="W65" s="28"/>
      <c r="X65" s="28">
        <f>W64</f>
        <v>0</v>
      </c>
      <c r="Y65" s="28"/>
      <c r="Z65" s="28"/>
      <c r="AA65" s="86">
        <f>Z64</f>
        <v>0</v>
      </c>
      <c r="AB65" s="28"/>
      <c r="AC65" s="28">
        <f>AB64</f>
        <v>0</v>
      </c>
      <c r="AD65" s="28"/>
    </row>
    <row r="66" spans="3:34">
      <c r="C66" s="39" t="s">
        <v>340</v>
      </c>
      <c r="P66" s="28"/>
      <c r="Q66" s="28"/>
      <c r="R66" s="28"/>
      <c r="S66" s="28"/>
      <c r="T66" s="28"/>
      <c r="U66" s="28"/>
      <c r="V66" s="28"/>
      <c r="W66" s="28"/>
      <c r="X66" s="129">
        <f>IF('Tableau simu'!D11="Oui",1,0)</f>
        <v>0</v>
      </c>
      <c r="Y66" s="28"/>
      <c r="Z66" s="28"/>
      <c r="AA66" s="86"/>
      <c r="AB66" s="28"/>
      <c r="AC66" s="41" t="s">
        <v>263</v>
      </c>
      <c r="AD66" s="28"/>
    </row>
    <row r="67" spans="3:34">
      <c r="C67" s="37" t="s">
        <v>332</v>
      </c>
      <c r="P67" s="28"/>
      <c r="Q67" s="28"/>
      <c r="R67" s="28"/>
      <c r="S67" s="28"/>
      <c r="T67" s="28"/>
      <c r="U67" s="28"/>
      <c r="V67" s="28"/>
      <c r="W67" s="28"/>
      <c r="X67" s="41">
        <f>IF($B$9=0,0,$X$66*$B$9*$A$6)</f>
        <v>0</v>
      </c>
      <c r="Y67" s="28"/>
      <c r="AA67" s="44">
        <f>IF($B$10=0,0,$X$66*$B$10*$A$6)</f>
        <v>0</v>
      </c>
      <c r="AC67" s="41">
        <f>IF($B$11=0,0,$X$66*$B$11*$A$6)</f>
        <v>0</v>
      </c>
      <c r="AD67" s="28"/>
    </row>
    <row r="68" spans="3:34">
      <c r="C68" s="37" t="s">
        <v>333</v>
      </c>
      <c r="P68" s="28"/>
      <c r="Q68" s="28"/>
      <c r="R68" s="28"/>
      <c r="S68" s="28"/>
      <c r="T68" s="28"/>
      <c r="U68" s="28"/>
      <c r="V68" s="28"/>
      <c r="W68" s="28"/>
      <c r="X68" s="28"/>
      <c r="Y68" s="28">
        <f>X67</f>
        <v>0</v>
      </c>
      <c r="Z68" s="28"/>
      <c r="AA68" s="86"/>
      <c r="AB68" s="28">
        <f>AA67</f>
        <v>0</v>
      </c>
      <c r="AC68" s="28"/>
      <c r="AD68" s="28">
        <f>AC67</f>
        <v>0</v>
      </c>
    </row>
    <row r="69" spans="3:34">
      <c r="C69" s="39" t="s">
        <v>341</v>
      </c>
      <c r="P69" s="28"/>
      <c r="Q69" s="28"/>
      <c r="R69" s="28"/>
      <c r="S69" s="28"/>
      <c r="T69" s="28"/>
      <c r="U69" s="28"/>
      <c r="V69" s="28"/>
      <c r="W69" s="28"/>
      <c r="X69" s="28"/>
      <c r="Y69" s="129">
        <f>IF('Tableau simu'!D12="Oui",1,0)</f>
        <v>1</v>
      </c>
      <c r="Z69" s="28"/>
      <c r="AA69" s="86"/>
      <c r="AB69" s="28"/>
      <c r="AC69" s="28"/>
      <c r="AD69" s="41" t="s">
        <v>263</v>
      </c>
    </row>
    <row r="70" spans="3:34">
      <c r="C70" s="37" t="s">
        <v>332</v>
      </c>
      <c r="P70" s="28"/>
      <c r="Q70" s="28"/>
      <c r="R70" s="28"/>
      <c r="S70" s="28"/>
      <c r="T70" s="28"/>
      <c r="U70" s="28"/>
      <c r="V70" s="28"/>
      <c r="W70" s="28"/>
      <c r="X70" s="28"/>
      <c r="Y70" s="41">
        <f>IF($B$9=0,0,$Y$69*$B$9*$A$6)</f>
        <v>0</v>
      </c>
      <c r="Z70" s="28"/>
      <c r="AA70" s="86"/>
      <c r="AB70" s="61">
        <f>IF($B$10=0,0,$Y$69*$B$10*$A$6)</f>
        <v>0</v>
      </c>
      <c r="AC70" s="28"/>
      <c r="AD70" s="41">
        <f>IF($B$11=0,0,$Y$69*$B$11*$A$6)</f>
        <v>0</v>
      </c>
    </row>
    <row r="71" spans="3:34">
      <c r="C71" s="37" t="s">
        <v>333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>
        <f>Y70</f>
        <v>0</v>
      </c>
      <c r="AA71" s="86"/>
      <c r="AB71" s="28"/>
      <c r="AC71" s="28">
        <f>AB70</f>
        <v>0</v>
      </c>
      <c r="AD71" s="28"/>
      <c r="AE71" s="28">
        <f>AD70</f>
        <v>0</v>
      </c>
    </row>
    <row r="72" spans="3:34">
      <c r="C72" s="39" t="s">
        <v>342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129">
        <f>IF('Tableau simu'!D13="Oui",1,0)</f>
        <v>0</v>
      </c>
      <c r="AA72" s="86"/>
      <c r="AB72" s="28"/>
      <c r="AC72" s="28"/>
      <c r="AD72" s="28"/>
      <c r="AE72" s="41" t="s">
        <v>263</v>
      </c>
    </row>
    <row r="73" spans="3:34">
      <c r="C73" s="37" t="s">
        <v>332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41">
        <f>IF($B$9=0,0,$Z$72*$B$9*$A$6)</f>
        <v>0</v>
      </c>
      <c r="AA73" s="86"/>
      <c r="AC73" s="61">
        <f>IF($B$10=0,0,$Z$72*$B$10*$A$6)</f>
        <v>0</v>
      </c>
      <c r="AE73" s="41">
        <f>IF($B$11=0,0,$Z$72*$B$11*$A$6)</f>
        <v>0</v>
      </c>
    </row>
    <row r="74" spans="3:34">
      <c r="C74" s="37" t="s">
        <v>333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86">
        <f>Z73</f>
        <v>0</v>
      </c>
      <c r="AB74" s="28"/>
      <c r="AC74" s="28"/>
      <c r="AD74" s="28">
        <f>AC73</f>
        <v>0</v>
      </c>
      <c r="AE74" s="28"/>
      <c r="AF74" s="28">
        <f>AE73</f>
        <v>0</v>
      </c>
    </row>
    <row r="75" spans="3:34">
      <c r="C75" s="39" t="s">
        <v>343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130">
        <f>IF('Tableau simu'!D14="Oui",1,0)</f>
        <v>1</v>
      </c>
      <c r="AB75" s="28"/>
      <c r="AC75" s="28"/>
      <c r="AD75" s="28"/>
      <c r="AF75" s="41" t="s">
        <v>263</v>
      </c>
    </row>
    <row r="76" spans="3:34">
      <c r="C76" s="37" t="s">
        <v>332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44">
        <f>IF($B$9=0,0,$AA$75*$B$9*$A$6)</f>
        <v>0</v>
      </c>
      <c r="AB76" s="28"/>
      <c r="AC76" s="28"/>
      <c r="AD76" s="61">
        <f>IF($B$10=0,0,$AA$75*$B$10*$A$6)</f>
        <v>0</v>
      </c>
      <c r="AE76" s="28"/>
      <c r="AF76" s="41">
        <f>IF($B$11=0,0,$AA$75*$B$11*$A$6)</f>
        <v>0</v>
      </c>
    </row>
    <row r="77" spans="3:34">
      <c r="C77" s="37" t="s">
        <v>333</v>
      </c>
      <c r="AB77" s="28">
        <f>AA76</f>
        <v>0</v>
      </c>
      <c r="AC77" s="28"/>
      <c r="AD77" s="28"/>
      <c r="AE77" s="28">
        <f>AD76</f>
        <v>0</v>
      </c>
      <c r="AF77" s="28"/>
      <c r="AG77" s="28">
        <f>AF76</f>
        <v>0</v>
      </c>
      <c r="AH77" s="28">
        <f>AG76</f>
        <v>0</v>
      </c>
    </row>
    <row r="78" spans="3:34">
      <c r="C78" s="37" t="s">
        <v>510</v>
      </c>
      <c r="D78" s="28">
        <f>D43+D46+D49+D52+D55+D58+D61+D64+D67+D70+D73+D76</f>
        <v>0</v>
      </c>
      <c r="E78" s="28">
        <f t="shared" ref="E78:AH78" si="2">E43+E46+E49+E52+E55+E58+E61+E64+E67+E70+E73+E76</f>
        <v>0</v>
      </c>
      <c r="F78" s="28">
        <f t="shared" si="2"/>
        <v>0</v>
      </c>
      <c r="G78" s="28">
        <f t="shared" si="2"/>
        <v>0</v>
      </c>
      <c r="H78" s="28">
        <f t="shared" si="2"/>
        <v>0</v>
      </c>
      <c r="I78" s="28">
        <f t="shared" si="2"/>
        <v>0</v>
      </c>
      <c r="J78" s="28">
        <f t="shared" si="2"/>
        <v>0</v>
      </c>
      <c r="K78" s="28">
        <f t="shared" si="2"/>
        <v>0</v>
      </c>
      <c r="L78" s="28">
        <f t="shared" si="2"/>
        <v>0</v>
      </c>
      <c r="M78" s="28">
        <f t="shared" si="2"/>
        <v>0</v>
      </c>
      <c r="N78" s="28">
        <f t="shared" si="2"/>
        <v>0</v>
      </c>
      <c r="O78" s="86">
        <f t="shared" si="2"/>
        <v>0</v>
      </c>
      <c r="P78" s="28">
        <f t="shared" si="2"/>
        <v>0</v>
      </c>
      <c r="Q78" s="28">
        <f t="shared" si="2"/>
        <v>0</v>
      </c>
      <c r="R78" s="28">
        <f t="shared" si="2"/>
        <v>0</v>
      </c>
      <c r="S78" s="28">
        <f t="shared" si="2"/>
        <v>0</v>
      </c>
      <c r="T78" s="28">
        <f>T43+T46+T49+T52+T55+T58+T61+T64+T67+T70+T73+T76</f>
        <v>0</v>
      </c>
      <c r="U78" s="28">
        <f>U43+U46+U49+U52+U55+U58+U61+U64+U67+U70+U73+U76</f>
        <v>0</v>
      </c>
      <c r="V78" s="28">
        <f>V43+V46+V49+V52+V55+V58+V61+V64+V67+V70+V73+V76</f>
        <v>0</v>
      </c>
      <c r="W78" s="28">
        <f>W43+W46+W49+W52+W55+W58+W61+W64+W67+W70+W73+W76</f>
        <v>0</v>
      </c>
      <c r="X78" s="28">
        <f>X43+X46+X49+X52+Y55+X58+Y61+X64+X67+X70+X73+X76</f>
        <v>0</v>
      </c>
      <c r="Y78" s="28">
        <f>Y43+Y46+Y49+Y52+Y55+Y58+Z61+Y64+Y67+Y70+Y73+Y76</f>
        <v>0</v>
      </c>
      <c r="Z78" s="28">
        <f t="shared" ref="Z78:AE78" si="3">Z43+Z46+Z49+Z52+Z55+Z58+Z61+Z64+Z67+Z70+Z73+Z76</f>
        <v>0</v>
      </c>
      <c r="AA78" s="86">
        <f t="shared" si="3"/>
        <v>0</v>
      </c>
      <c r="AB78" s="28">
        <f t="shared" si="3"/>
        <v>0</v>
      </c>
      <c r="AC78" s="28">
        <f t="shared" si="3"/>
        <v>0</v>
      </c>
      <c r="AD78" s="28">
        <f t="shared" si="3"/>
        <v>0</v>
      </c>
      <c r="AE78" s="28">
        <f t="shared" si="3"/>
        <v>0</v>
      </c>
      <c r="AF78" s="28">
        <f t="shared" si="2"/>
        <v>0</v>
      </c>
      <c r="AG78" s="28">
        <f t="shared" si="2"/>
        <v>0</v>
      </c>
      <c r="AH78" s="28">
        <f t="shared" si="2"/>
        <v>0</v>
      </c>
    </row>
    <row r="79" spans="3:34">
      <c r="C79" s="37" t="s">
        <v>344</v>
      </c>
      <c r="D79" s="28">
        <f>D44+D47+D50+D53+D56+D59+D62+D65+D68+D71+D74+D77</f>
        <v>0</v>
      </c>
      <c r="E79" s="28">
        <f t="shared" ref="E79:AH79" si="4">E44+E47+E50+E53+E56+E59+E62+E65+E68+E71+E74+E77</f>
        <v>0</v>
      </c>
      <c r="F79" s="28">
        <f t="shared" si="4"/>
        <v>0</v>
      </c>
      <c r="G79" s="28">
        <f t="shared" si="4"/>
        <v>0</v>
      </c>
      <c r="H79" s="28">
        <f t="shared" si="4"/>
        <v>0</v>
      </c>
      <c r="I79" s="28">
        <f t="shared" si="4"/>
        <v>0</v>
      </c>
      <c r="J79" s="28">
        <f t="shared" si="4"/>
        <v>0</v>
      </c>
      <c r="K79" s="28">
        <f t="shared" si="4"/>
        <v>0</v>
      </c>
      <c r="L79" s="28">
        <f t="shared" si="4"/>
        <v>0</v>
      </c>
      <c r="M79" s="28">
        <f t="shared" si="4"/>
        <v>0</v>
      </c>
      <c r="N79" s="28">
        <f t="shared" si="4"/>
        <v>0</v>
      </c>
      <c r="O79" s="86">
        <f t="shared" si="4"/>
        <v>0</v>
      </c>
      <c r="P79" s="28">
        <f t="shared" si="4"/>
        <v>0</v>
      </c>
      <c r="Q79" s="28">
        <f t="shared" si="4"/>
        <v>0</v>
      </c>
      <c r="R79" s="28">
        <f t="shared" si="4"/>
        <v>0</v>
      </c>
      <c r="S79" s="28">
        <f t="shared" si="4"/>
        <v>0</v>
      </c>
      <c r="T79" s="28">
        <f t="shared" si="4"/>
        <v>0</v>
      </c>
      <c r="U79" s="28">
        <f t="shared" si="4"/>
        <v>0</v>
      </c>
      <c r="V79" s="28">
        <f t="shared" si="4"/>
        <v>0</v>
      </c>
      <c r="W79" s="28">
        <f t="shared" si="4"/>
        <v>0</v>
      </c>
      <c r="X79" s="28">
        <f t="shared" si="4"/>
        <v>0</v>
      </c>
      <c r="Y79" s="28">
        <f t="shared" si="4"/>
        <v>0</v>
      </c>
      <c r="Z79" s="28">
        <f t="shared" si="4"/>
        <v>0</v>
      </c>
      <c r="AA79" s="86">
        <f t="shared" si="4"/>
        <v>0</v>
      </c>
      <c r="AB79" s="28">
        <f t="shared" si="4"/>
        <v>0</v>
      </c>
      <c r="AC79" s="28">
        <f t="shared" si="4"/>
        <v>0</v>
      </c>
      <c r="AD79" s="28">
        <f t="shared" si="4"/>
        <v>0</v>
      </c>
      <c r="AE79" s="28">
        <f t="shared" si="4"/>
        <v>0</v>
      </c>
      <c r="AF79" s="28">
        <f t="shared" si="4"/>
        <v>0</v>
      </c>
      <c r="AG79" s="28">
        <f t="shared" si="4"/>
        <v>0</v>
      </c>
      <c r="AH79" s="28">
        <f t="shared" si="4"/>
        <v>0</v>
      </c>
    </row>
    <row r="80" spans="3:34">
      <c r="C80" s="19" t="s">
        <v>528</v>
      </c>
      <c r="D80" s="36">
        <f>D78+D39</f>
        <v>0</v>
      </c>
      <c r="E80" s="36">
        <f t="shared" ref="E80:AH80" si="5">E78+E39</f>
        <v>0</v>
      </c>
      <c r="F80" s="36">
        <f t="shared" si="5"/>
        <v>11960</v>
      </c>
      <c r="G80" s="36">
        <f t="shared" si="5"/>
        <v>11960</v>
      </c>
      <c r="H80" s="36">
        <f t="shared" si="5"/>
        <v>59800</v>
      </c>
      <c r="I80" s="36">
        <f t="shared" si="5"/>
        <v>59800</v>
      </c>
      <c r="J80" s="36">
        <f t="shared" si="5"/>
        <v>119600</v>
      </c>
      <c r="K80" s="36">
        <f t="shared" si="5"/>
        <v>119600</v>
      </c>
      <c r="L80" s="36">
        <f t="shared" si="5"/>
        <v>119600</v>
      </c>
      <c r="M80" s="36">
        <f t="shared" si="5"/>
        <v>119600</v>
      </c>
      <c r="N80" s="36">
        <f t="shared" si="5"/>
        <v>119600</v>
      </c>
      <c r="O80" s="35">
        <f t="shared" si="5"/>
        <v>119600</v>
      </c>
      <c r="P80" s="36">
        <f t="shared" si="5"/>
        <v>107640</v>
      </c>
      <c r="Q80" s="36">
        <f t="shared" si="5"/>
        <v>107640</v>
      </c>
      <c r="R80" s="36">
        <f t="shared" si="5"/>
        <v>59800</v>
      </c>
      <c r="S80" s="36">
        <f t="shared" si="5"/>
        <v>59800</v>
      </c>
      <c r="T80" s="36">
        <f t="shared" si="5"/>
        <v>0</v>
      </c>
      <c r="U80" s="36">
        <f t="shared" si="5"/>
        <v>0</v>
      </c>
      <c r="V80" s="36">
        <f t="shared" si="5"/>
        <v>0</v>
      </c>
      <c r="W80" s="36">
        <f t="shared" si="5"/>
        <v>0</v>
      </c>
      <c r="X80" s="36">
        <f t="shared" si="5"/>
        <v>0</v>
      </c>
      <c r="Y80" s="36">
        <f t="shared" si="5"/>
        <v>0</v>
      </c>
      <c r="Z80" s="36">
        <f t="shared" si="5"/>
        <v>0</v>
      </c>
      <c r="AA80" s="35">
        <f t="shared" si="5"/>
        <v>0</v>
      </c>
      <c r="AB80" s="36">
        <f t="shared" si="5"/>
        <v>0</v>
      </c>
      <c r="AC80" s="36">
        <f t="shared" si="5"/>
        <v>0</v>
      </c>
      <c r="AD80" s="36">
        <f t="shared" si="5"/>
        <v>0</v>
      </c>
      <c r="AE80" s="36">
        <f t="shared" si="5"/>
        <v>0</v>
      </c>
      <c r="AF80" s="36">
        <f t="shared" si="5"/>
        <v>0</v>
      </c>
      <c r="AG80" s="36">
        <f t="shared" si="5"/>
        <v>0</v>
      </c>
      <c r="AH80" s="36">
        <f t="shared" si="5"/>
        <v>0</v>
      </c>
    </row>
    <row r="81" spans="3:34">
      <c r="C81" s="19" t="s">
        <v>529</v>
      </c>
      <c r="D81" s="36">
        <f>D79+D40</f>
        <v>0</v>
      </c>
      <c r="E81" s="36">
        <f t="shared" ref="E81:AH81" si="6">E79+E40</f>
        <v>0</v>
      </c>
      <c r="F81" s="36">
        <f t="shared" si="6"/>
        <v>0</v>
      </c>
      <c r="G81" s="36">
        <f t="shared" si="6"/>
        <v>11960</v>
      </c>
      <c r="H81" s="36">
        <f t="shared" si="6"/>
        <v>11960</v>
      </c>
      <c r="I81" s="36">
        <f t="shared" si="6"/>
        <v>59800</v>
      </c>
      <c r="J81" s="36">
        <f t="shared" si="6"/>
        <v>59800</v>
      </c>
      <c r="K81" s="36">
        <f t="shared" si="6"/>
        <v>119600</v>
      </c>
      <c r="L81" s="36">
        <f t="shared" si="6"/>
        <v>119600</v>
      </c>
      <c r="M81" s="36">
        <f t="shared" si="6"/>
        <v>119600</v>
      </c>
      <c r="N81" s="36">
        <f t="shared" si="6"/>
        <v>119600</v>
      </c>
      <c r="O81" s="35">
        <f t="shared" si="6"/>
        <v>119600</v>
      </c>
      <c r="P81" s="36">
        <f t="shared" si="6"/>
        <v>119600</v>
      </c>
      <c r="Q81" s="36">
        <f t="shared" si="6"/>
        <v>107640</v>
      </c>
      <c r="R81" s="36">
        <f t="shared" si="6"/>
        <v>107640</v>
      </c>
      <c r="S81" s="36">
        <f t="shared" si="6"/>
        <v>59800</v>
      </c>
      <c r="T81" s="36">
        <f t="shared" si="6"/>
        <v>59800</v>
      </c>
      <c r="U81" s="36">
        <f t="shared" si="6"/>
        <v>0</v>
      </c>
      <c r="V81" s="36">
        <f t="shared" si="6"/>
        <v>0</v>
      </c>
      <c r="W81" s="36">
        <f t="shared" si="6"/>
        <v>0</v>
      </c>
      <c r="X81" s="36">
        <f t="shared" si="6"/>
        <v>0</v>
      </c>
      <c r="Y81" s="36">
        <f t="shared" si="6"/>
        <v>0</v>
      </c>
      <c r="Z81" s="36">
        <f t="shared" si="6"/>
        <v>0</v>
      </c>
      <c r="AA81" s="35">
        <f t="shared" si="6"/>
        <v>0</v>
      </c>
      <c r="AB81" s="36">
        <f t="shared" si="6"/>
        <v>0</v>
      </c>
      <c r="AC81" s="36">
        <f t="shared" si="6"/>
        <v>0</v>
      </c>
      <c r="AD81" s="36">
        <f t="shared" si="6"/>
        <v>0</v>
      </c>
      <c r="AE81" s="36">
        <f t="shared" si="6"/>
        <v>0</v>
      </c>
      <c r="AF81" s="36">
        <f t="shared" si="6"/>
        <v>0</v>
      </c>
      <c r="AG81" s="36">
        <f t="shared" si="6"/>
        <v>0</v>
      </c>
      <c r="AH81" s="36">
        <f t="shared" si="6"/>
        <v>0</v>
      </c>
    </row>
    <row r="83" spans="3:34">
      <c r="C83" s="37" t="s">
        <v>530</v>
      </c>
      <c r="P83" s="36">
        <f>P39</f>
        <v>107640</v>
      </c>
      <c r="Q83" s="36">
        <f t="shared" ref="Q83:AH83" si="7">Q39</f>
        <v>107640</v>
      </c>
      <c r="R83" s="36">
        <f t="shared" si="7"/>
        <v>59800</v>
      </c>
      <c r="S83" s="36">
        <f t="shared" si="7"/>
        <v>59800</v>
      </c>
      <c r="T83" s="36">
        <f t="shared" si="7"/>
        <v>0</v>
      </c>
      <c r="U83" s="36">
        <f t="shared" si="7"/>
        <v>0</v>
      </c>
      <c r="V83" s="36">
        <f t="shared" si="7"/>
        <v>0</v>
      </c>
      <c r="W83" s="36">
        <f t="shared" si="7"/>
        <v>0</v>
      </c>
      <c r="X83" s="36">
        <f t="shared" si="7"/>
        <v>0</v>
      </c>
      <c r="Y83" s="36">
        <f t="shared" si="7"/>
        <v>0</v>
      </c>
      <c r="Z83" s="36">
        <f t="shared" si="7"/>
        <v>0</v>
      </c>
      <c r="AA83" s="35">
        <f t="shared" si="7"/>
        <v>0</v>
      </c>
      <c r="AB83" s="36">
        <f t="shared" si="7"/>
        <v>0</v>
      </c>
      <c r="AC83" s="36">
        <f t="shared" si="7"/>
        <v>0</v>
      </c>
      <c r="AD83" s="36">
        <f t="shared" si="7"/>
        <v>0</v>
      </c>
      <c r="AE83" s="36">
        <f t="shared" si="7"/>
        <v>0</v>
      </c>
      <c r="AF83" s="36">
        <f t="shared" si="7"/>
        <v>0</v>
      </c>
      <c r="AG83" s="36">
        <f t="shared" si="7"/>
        <v>0</v>
      </c>
      <c r="AH83" s="36">
        <f t="shared" si="7"/>
        <v>0</v>
      </c>
    </row>
    <row r="84" spans="3:34">
      <c r="C84" s="37" t="s">
        <v>531</v>
      </c>
      <c r="P84" s="36">
        <f>P78</f>
        <v>0</v>
      </c>
      <c r="Q84" s="36">
        <f t="shared" ref="Q84:AH84" si="8">Q78</f>
        <v>0</v>
      </c>
      <c r="R84" s="36">
        <f t="shared" si="8"/>
        <v>0</v>
      </c>
      <c r="S84" s="36">
        <f t="shared" si="8"/>
        <v>0</v>
      </c>
      <c r="T84" s="36">
        <f t="shared" si="8"/>
        <v>0</v>
      </c>
      <c r="U84" s="36">
        <f t="shared" si="8"/>
        <v>0</v>
      </c>
      <c r="V84" s="36">
        <f t="shared" si="8"/>
        <v>0</v>
      </c>
      <c r="W84" s="36">
        <f t="shared" si="8"/>
        <v>0</v>
      </c>
      <c r="X84" s="36">
        <f t="shared" si="8"/>
        <v>0</v>
      </c>
      <c r="Y84" s="36">
        <f t="shared" si="8"/>
        <v>0</v>
      </c>
      <c r="Z84" s="36">
        <f t="shared" si="8"/>
        <v>0</v>
      </c>
      <c r="AA84" s="35">
        <f t="shared" si="8"/>
        <v>0</v>
      </c>
      <c r="AB84" s="36">
        <f t="shared" si="8"/>
        <v>0</v>
      </c>
      <c r="AC84" s="36">
        <f t="shared" si="8"/>
        <v>0</v>
      </c>
      <c r="AD84" s="36">
        <f t="shared" si="8"/>
        <v>0</v>
      </c>
      <c r="AE84" s="36">
        <f t="shared" si="8"/>
        <v>0</v>
      </c>
      <c r="AF84" s="36">
        <f t="shared" si="8"/>
        <v>0</v>
      </c>
      <c r="AG84" s="36">
        <f t="shared" si="8"/>
        <v>0</v>
      </c>
      <c r="AH84" s="36">
        <f t="shared" si="8"/>
        <v>0</v>
      </c>
    </row>
  </sheetData>
  <mergeCells count="3">
    <mergeCell ref="P1:AA1"/>
    <mergeCell ref="D1:O1"/>
    <mergeCell ref="AB1:AH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9"/>
  <sheetViews>
    <sheetView workbookViewId="0">
      <selection activeCell="B3" sqref="B3:I19"/>
    </sheetView>
  </sheetViews>
  <sheetFormatPr baseColWidth="10" defaultRowHeight="12" x14ac:dyDescent="0"/>
  <cols>
    <col min="1" max="1" width="47.6640625" bestFit="1" customWidth="1"/>
    <col min="2" max="2" width="7.5" bestFit="1" customWidth="1"/>
    <col min="3" max="3" width="9" bestFit="1" customWidth="1"/>
    <col min="4" max="4" width="8.83203125" bestFit="1" customWidth="1"/>
    <col min="5" max="5" width="9" bestFit="1" customWidth="1"/>
    <col min="6" max="6" width="8.33203125" bestFit="1" customWidth="1"/>
    <col min="7" max="7" width="9" bestFit="1" customWidth="1"/>
    <col min="8" max="8" width="8.83203125" bestFit="1" customWidth="1"/>
    <col min="9" max="9" width="9" bestFit="1" customWidth="1"/>
  </cols>
  <sheetData>
    <row r="1" spans="1:9">
      <c r="A1" s="208"/>
      <c r="B1" s="476" t="s">
        <v>490</v>
      </c>
      <c r="C1" s="476"/>
      <c r="D1" s="476"/>
      <c r="E1" s="476"/>
      <c r="F1" s="476" t="s">
        <v>491</v>
      </c>
      <c r="G1" s="476"/>
      <c r="H1" s="476"/>
      <c r="I1" s="477"/>
    </row>
    <row r="2" spans="1:9" ht="30">
      <c r="A2" s="209"/>
      <c r="B2" s="206"/>
      <c r="C2" s="206" t="s">
        <v>453</v>
      </c>
      <c r="D2" s="206" t="s">
        <v>473</v>
      </c>
      <c r="E2" s="206" t="s">
        <v>376</v>
      </c>
      <c r="F2" s="162"/>
      <c r="G2" s="206" t="s">
        <v>496</v>
      </c>
      <c r="H2" s="206" t="s">
        <v>497</v>
      </c>
      <c r="I2" s="210" t="s">
        <v>376</v>
      </c>
    </row>
    <row r="3" spans="1:9">
      <c r="A3" s="170" t="s">
        <v>492</v>
      </c>
      <c r="B3" s="207"/>
      <c r="C3" s="162"/>
      <c r="D3" s="162"/>
      <c r="E3" s="162"/>
      <c r="F3" s="207"/>
      <c r="G3" s="162"/>
      <c r="H3" s="162"/>
      <c r="I3" s="173"/>
    </row>
    <row r="4" spans="1:9">
      <c r="A4" s="176" t="s">
        <v>500</v>
      </c>
      <c r="B4" s="207"/>
      <c r="C4" s="207"/>
      <c r="D4" s="207"/>
      <c r="E4" s="207"/>
      <c r="F4" s="162"/>
      <c r="G4" s="207"/>
      <c r="H4" s="207"/>
      <c r="I4" s="211"/>
    </row>
    <row r="5" spans="1:9">
      <c r="A5" s="176" t="s">
        <v>501</v>
      </c>
      <c r="B5" s="207"/>
      <c r="C5" s="207"/>
      <c r="D5" s="207"/>
      <c r="E5" s="207"/>
      <c r="F5" s="162"/>
      <c r="G5" s="207"/>
      <c r="H5" s="207"/>
      <c r="I5" s="211"/>
    </row>
    <row r="6" spans="1:9">
      <c r="A6" s="176" t="s">
        <v>502</v>
      </c>
      <c r="B6" s="207"/>
      <c r="C6" s="207"/>
      <c r="D6" s="207"/>
      <c r="E6" s="207"/>
      <c r="F6" s="162"/>
      <c r="G6" s="207"/>
      <c r="H6" s="207"/>
      <c r="I6" s="211"/>
    </row>
    <row r="7" spans="1:9">
      <c r="A7" s="176" t="s">
        <v>498</v>
      </c>
      <c r="B7" s="207"/>
      <c r="C7" s="207"/>
      <c r="D7" s="207"/>
      <c r="E7" s="207"/>
      <c r="F7" s="162"/>
      <c r="G7" s="207"/>
      <c r="H7" s="207"/>
      <c r="I7" s="211"/>
    </row>
    <row r="8" spans="1:9">
      <c r="A8" s="212" t="s">
        <v>494</v>
      </c>
      <c r="B8" s="187"/>
      <c r="C8" s="162"/>
      <c r="D8" s="207"/>
      <c r="E8" s="187"/>
      <c r="F8" s="162"/>
      <c r="G8" s="162"/>
      <c r="H8" s="162"/>
      <c r="I8" s="213"/>
    </row>
    <row r="9" spans="1:9">
      <c r="A9" s="158"/>
      <c r="B9" s="162"/>
      <c r="C9" s="162"/>
      <c r="D9" s="207"/>
      <c r="E9" s="186"/>
      <c r="F9" s="162"/>
      <c r="G9" s="162"/>
      <c r="H9" s="162"/>
      <c r="I9" s="173"/>
    </row>
    <row r="10" spans="1:9">
      <c r="A10" s="170" t="s">
        <v>493</v>
      </c>
      <c r="B10" s="162"/>
      <c r="C10" s="162"/>
      <c r="D10" s="207"/>
      <c r="E10" s="186"/>
      <c r="F10" s="207"/>
      <c r="G10" s="162"/>
      <c r="H10" s="162"/>
      <c r="I10" s="173"/>
    </row>
    <row r="11" spans="1:9">
      <c r="A11" s="176" t="s">
        <v>499</v>
      </c>
      <c r="B11" s="162"/>
      <c r="C11" s="162"/>
      <c r="D11" s="207"/>
      <c r="E11" s="186"/>
      <c r="F11" s="162"/>
      <c r="G11" s="207"/>
      <c r="H11" s="207"/>
      <c r="I11" s="211"/>
    </row>
    <row r="12" spans="1:9">
      <c r="A12" s="176" t="s">
        <v>534</v>
      </c>
      <c r="B12" s="162"/>
      <c r="C12" s="162"/>
      <c r="D12" s="207"/>
      <c r="E12" s="186"/>
      <c r="F12" s="162"/>
      <c r="G12" s="207"/>
      <c r="H12" s="207"/>
      <c r="I12" s="211"/>
    </row>
    <row r="13" spans="1:9">
      <c r="A13" s="176" t="s">
        <v>503</v>
      </c>
      <c r="B13" s="162"/>
      <c r="C13" s="162"/>
      <c r="D13" s="207"/>
      <c r="E13" s="186"/>
      <c r="F13" s="162"/>
      <c r="G13" s="207"/>
      <c r="H13" s="207"/>
      <c r="I13" s="211"/>
    </row>
    <row r="14" spans="1:9">
      <c r="A14" s="176" t="s">
        <v>535</v>
      </c>
      <c r="B14" s="162"/>
      <c r="C14" s="162"/>
      <c r="D14" s="207"/>
      <c r="E14" s="186"/>
      <c r="F14" s="162"/>
      <c r="G14" s="207"/>
      <c r="H14" s="207"/>
      <c r="I14" s="211"/>
    </row>
    <row r="15" spans="1:9">
      <c r="A15" s="176" t="s">
        <v>498</v>
      </c>
      <c r="B15" s="162"/>
      <c r="C15" s="162"/>
      <c r="D15" s="207"/>
      <c r="E15" s="186"/>
      <c r="F15" s="162"/>
      <c r="G15" s="207"/>
      <c r="H15" s="207"/>
      <c r="I15" s="211"/>
    </row>
    <row r="16" spans="1:9">
      <c r="A16" s="212" t="s">
        <v>495</v>
      </c>
      <c r="B16" s="162"/>
      <c r="C16" s="162"/>
      <c r="D16" s="207"/>
      <c r="E16" s="186"/>
      <c r="F16" s="162"/>
      <c r="G16" s="162"/>
      <c r="H16" s="162"/>
      <c r="I16" s="213"/>
    </row>
    <row r="17" spans="1:14">
      <c r="A17" s="170" t="s">
        <v>536</v>
      </c>
      <c r="B17" s="162"/>
      <c r="C17" s="162"/>
      <c r="D17" s="207"/>
      <c r="E17" s="187"/>
      <c r="F17" s="162"/>
      <c r="G17" s="162"/>
      <c r="H17" s="162"/>
      <c r="I17" s="213"/>
      <c r="J17" s="37"/>
      <c r="K17" s="37"/>
      <c r="L17" s="37"/>
      <c r="M17" s="37"/>
      <c r="N17" s="37"/>
    </row>
    <row r="18" spans="1:14">
      <c r="A18" s="158"/>
      <c r="B18" s="162"/>
      <c r="C18" s="162"/>
      <c r="D18" s="162"/>
      <c r="E18" s="162"/>
      <c r="F18" s="162"/>
      <c r="G18" s="162"/>
      <c r="H18" s="162"/>
      <c r="I18" s="173"/>
      <c r="J18" s="37"/>
      <c r="K18" s="37"/>
      <c r="L18" s="37"/>
      <c r="M18" s="37"/>
      <c r="N18" s="37"/>
    </row>
    <row r="19" spans="1:14" ht="13" thickBot="1">
      <c r="A19" s="180" t="s">
        <v>537</v>
      </c>
      <c r="B19" s="214"/>
      <c r="C19" s="214"/>
      <c r="D19" s="214"/>
      <c r="E19" s="215"/>
      <c r="F19" s="214"/>
      <c r="G19" s="214"/>
      <c r="H19" s="214"/>
      <c r="I19" s="216"/>
      <c r="J19" s="37"/>
      <c r="K19" s="37"/>
      <c r="L19" s="37"/>
      <c r="M19" s="37"/>
      <c r="N19" s="37"/>
    </row>
  </sheetData>
  <mergeCells count="2">
    <mergeCell ref="B1:E1"/>
    <mergeCell ref="F1:I1"/>
  </mergeCells>
  <phoneticPr fontId="9" type="noConversion"/>
  <printOptions horizontalCentered="1" verticalCentered="1" headings="1" gridLines="1"/>
  <pageMargins left="0.78740157480314965" right="0.78740157480314965" top="0.98425196850393704" bottom="0.98425196850393704" header="0.51181102362204722" footer="0.5118110236220472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"/>
  <sheetViews>
    <sheetView workbookViewId="0">
      <selection activeCell="P13" sqref="P13"/>
    </sheetView>
  </sheetViews>
  <sheetFormatPr baseColWidth="10" defaultRowHeight="12" x14ac:dyDescent="0"/>
  <cols>
    <col min="1" max="1" width="3.33203125" customWidth="1"/>
    <col min="2" max="2" width="20.83203125" bestFit="1" customWidth="1"/>
    <col min="3" max="3" width="6.6640625" bestFit="1" customWidth="1"/>
    <col min="4" max="14" width="5.33203125" bestFit="1" customWidth="1"/>
    <col min="15" max="16" width="6.1640625" bestFit="1" customWidth="1"/>
    <col min="17" max="17" width="6.6640625" bestFit="1" customWidth="1"/>
    <col min="18" max="19" width="5.33203125" bestFit="1" customWidth="1"/>
    <col min="20" max="20" width="5.33203125" customWidth="1"/>
    <col min="21" max="28" width="5.33203125" bestFit="1" customWidth="1"/>
    <col min="29" max="30" width="6.1640625" bestFit="1" customWidth="1"/>
  </cols>
  <sheetData>
    <row r="1" spans="1:30" ht="13" thickBot="1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6" t="s">
        <v>619</v>
      </c>
      <c r="L1" s="6" t="s">
        <v>324</v>
      </c>
      <c r="M1" s="6" t="s">
        <v>326</v>
      </c>
      <c r="N1" s="6" t="s">
        <v>330</v>
      </c>
      <c r="O1" s="6" t="s">
        <v>329</v>
      </c>
      <c r="P1" s="6" t="s">
        <v>621</v>
      </c>
      <c r="Q1" s="6" t="s">
        <v>622</v>
      </c>
      <c r="R1" s="6" t="s">
        <v>623</v>
      </c>
      <c r="S1" s="6" t="s">
        <v>328</v>
      </c>
      <c r="T1" s="6" t="s">
        <v>624</v>
      </c>
      <c r="U1" s="6" t="s">
        <v>625</v>
      </c>
      <c r="V1" s="6" t="s">
        <v>626</v>
      </c>
      <c r="W1" s="6" t="s">
        <v>627</v>
      </c>
      <c r="X1" s="6" t="s">
        <v>628</v>
      </c>
      <c r="Y1" s="6" t="s">
        <v>629</v>
      </c>
      <c r="Z1" s="6" t="s">
        <v>327</v>
      </c>
      <c r="AA1" s="6" t="s">
        <v>631</v>
      </c>
      <c r="AB1" s="6" t="s">
        <v>632</v>
      </c>
      <c r="AC1" s="6" t="s">
        <v>634</v>
      </c>
      <c r="AD1" s="6" t="s">
        <v>635</v>
      </c>
    </row>
    <row r="2" spans="1:30">
      <c r="A2" s="6">
        <v>2</v>
      </c>
      <c r="C2" s="478" t="s">
        <v>409</v>
      </c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80"/>
      <c r="Q2" s="481" t="s">
        <v>410</v>
      </c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7"/>
    </row>
    <row r="3" spans="1:30" ht="31" thickBot="1">
      <c r="A3" s="6">
        <v>3</v>
      </c>
      <c r="B3" s="17"/>
      <c r="C3" s="433" t="s">
        <v>254</v>
      </c>
      <c r="D3" s="431" t="s">
        <v>238</v>
      </c>
      <c r="E3" s="431" t="s">
        <v>239</v>
      </c>
      <c r="F3" s="431" t="s">
        <v>240</v>
      </c>
      <c r="G3" s="431" t="s">
        <v>241</v>
      </c>
      <c r="H3" s="431" t="s">
        <v>242</v>
      </c>
      <c r="I3" s="431" t="s">
        <v>243</v>
      </c>
      <c r="J3" s="431" t="s">
        <v>244</v>
      </c>
      <c r="K3" s="431" t="s">
        <v>245</v>
      </c>
      <c r="L3" s="431" t="s">
        <v>246</v>
      </c>
      <c r="M3" s="431" t="s">
        <v>247</v>
      </c>
      <c r="N3" s="431" t="s">
        <v>248</v>
      </c>
      <c r="O3" s="431" t="s">
        <v>249</v>
      </c>
      <c r="P3" s="434" t="s">
        <v>257</v>
      </c>
      <c r="Q3" s="435" t="s">
        <v>254</v>
      </c>
      <c r="R3" s="431" t="s">
        <v>238</v>
      </c>
      <c r="S3" s="431" t="s">
        <v>239</v>
      </c>
      <c r="T3" s="431" t="s">
        <v>240</v>
      </c>
      <c r="U3" s="431" t="s">
        <v>241</v>
      </c>
      <c r="V3" s="431" t="s">
        <v>242</v>
      </c>
      <c r="W3" s="431" t="s">
        <v>243</v>
      </c>
      <c r="X3" s="431" t="s">
        <v>244</v>
      </c>
      <c r="Y3" s="431" t="s">
        <v>245</v>
      </c>
      <c r="Z3" s="431" t="s">
        <v>246</v>
      </c>
      <c r="AA3" s="431" t="s">
        <v>247</v>
      </c>
      <c r="AB3" s="431" t="s">
        <v>248</v>
      </c>
      <c r="AC3" s="431" t="s">
        <v>249</v>
      </c>
      <c r="AD3" s="434" t="s">
        <v>257</v>
      </c>
    </row>
    <row r="4" spans="1:30">
      <c r="A4" s="6">
        <v>4</v>
      </c>
      <c r="B4" s="436"/>
      <c r="C4" s="437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286"/>
      <c r="Q4" s="325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427"/>
    </row>
    <row r="5" spans="1:30">
      <c r="A5" s="6">
        <v>5</v>
      </c>
      <c r="B5" s="438" t="s">
        <v>250</v>
      </c>
      <c r="C5" s="439">
        <f>'[1]Tableau simu'!B34</f>
        <v>3000</v>
      </c>
      <c r="D5" s="440">
        <f>$C$5</f>
        <v>3000</v>
      </c>
      <c r="E5" s="301">
        <f t="shared" ref="E5:O5" si="0">$C$5</f>
        <v>3000</v>
      </c>
      <c r="F5" s="301">
        <f t="shared" si="0"/>
        <v>3000</v>
      </c>
      <c r="G5" s="301">
        <f t="shared" si="0"/>
        <v>3000</v>
      </c>
      <c r="H5" s="301">
        <f t="shared" si="0"/>
        <v>3000</v>
      </c>
      <c r="I5" s="301">
        <f>$C$5</f>
        <v>3000</v>
      </c>
      <c r="J5" s="301">
        <f t="shared" si="0"/>
        <v>3000</v>
      </c>
      <c r="K5" s="301">
        <f t="shared" si="0"/>
        <v>3000</v>
      </c>
      <c r="L5" s="301">
        <f t="shared" si="0"/>
        <v>3000</v>
      </c>
      <c r="M5" s="301">
        <f t="shared" si="0"/>
        <v>3000</v>
      </c>
      <c r="N5" s="301">
        <f t="shared" si="0"/>
        <v>3000</v>
      </c>
      <c r="O5" s="301">
        <f t="shared" si="0"/>
        <v>3000</v>
      </c>
      <c r="P5" s="427">
        <f>SUM(D5:O5)</f>
        <v>36000</v>
      </c>
      <c r="Q5" s="426">
        <v>3500</v>
      </c>
      <c r="R5" s="301">
        <f>$Q$5</f>
        <v>3500</v>
      </c>
      <c r="S5" s="301">
        <f t="shared" ref="S5:AC5" si="1">$Q$5</f>
        <v>3500</v>
      </c>
      <c r="T5" s="301">
        <f t="shared" si="1"/>
        <v>3500</v>
      </c>
      <c r="U5" s="301">
        <f t="shared" si="1"/>
        <v>3500</v>
      </c>
      <c r="V5" s="301">
        <f t="shared" si="1"/>
        <v>3500</v>
      </c>
      <c r="W5" s="301">
        <f t="shared" si="1"/>
        <v>3500</v>
      </c>
      <c r="X5" s="301">
        <f t="shared" si="1"/>
        <v>3500</v>
      </c>
      <c r="Y5" s="301">
        <f t="shared" si="1"/>
        <v>3500</v>
      </c>
      <c r="Z5" s="301">
        <f t="shared" si="1"/>
        <v>3500</v>
      </c>
      <c r="AA5" s="301">
        <f t="shared" si="1"/>
        <v>3500</v>
      </c>
      <c r="AB5" s="301">
        <f t="shared" si="1"/>
        <v>3500</v>
      </c>
      <c r="AC5" s="301">
        <f t="shared" si="1"/>
        <v>3500</v>
      </c>
      <c r="AD5" s="427">
        <f>SUM(R5:AC5)</f>
        <v>42000</v>
      </c>
    </row>
    <row r="6" spans="1:30">
      <c r="A6" s="6">
        <v>6</v>
      </c>
      <c r="B6" s="438" t="s">
        <v>130</v>
      </c>
      <c r="C6" s="439">
        <f>'[1]Tableau simu'!B35</f>
        <v>3000</v>
      </c>
      <c r="D6" s="440">
        <f>$C$6</f>
        <v>3000</v>
      </c>
      <c r="E6" s="301">
        <f t="shared" ref="E6:O6" si="2">$C$6</f>
        <v>3000</v>
      </c>
      <c r="F6" s="301">
        <f t="shared" si="2"/>
        <v>3000</v>
      </c>
      <c r="G6" s="301">
        <f t="shared" si="2"/>
        <v>3000</v>
      </c>
      <c r="H6" s="301">
        <f t="shared" si="2"/>
        <v>3000</v>
      </c>
      <c r="I6" s="301">
        <f t="shared" si="2"/>
        <v>3000</v>
      </c>
      <c r="J6" s="301">
        <f t="shared" si="2"/>
        <v>3000</v>
      </c>
      <c r="K6" s="301">
        <f t="shared" si="2"/>
        <v>3000</v>
      </c>
      <c r="L6" s="301">
        <f t="shared" si="2"/>
        <v>3000</v>
      </c>
      <c r="M6" s="301">
        <f t="shared" si="2"/>
        <v>3000</v>
      </c>
      <c r="N6" s="301">
        <f t="shared" si="2"/>
        <v>3000</v>
      </c>
      <c r="O6" s="301">
        <f t="shared" si="2"/>
        <v>3000</v>
      </c>
      <c r="P6" s="427">
        <f t="shared" ref="P6:P14" si="3">SUM(D6:O6)</f>
        <v>36000</v>
      </c>
      <c r="Q6" s="426">
        <v>3500</v>
      </c>
      <c r="R6" s="301">
        <f>$Q$6</f>
        <v>3500</v>
      </c>
      <c r="S6" s="301">
        <f t="shared" ref="S6:AC6" si="4">$Q$6</f>
        <v>3500</v>
      </c>
      <c r="T6" s="301">
        <f t="shared" si="4"/>
        <v>3500</v>
      </c>
      <c r="U6" s="301">
        <f t="shared" si="4"/>
        <v>3500</v>
      </c>
      <c r="V6" s="301">
        <f t="shared" si="4"/>
        <v>3500</v>
      </c>
      <c r="W6" s="301">
        <f t="shared" si="4"/>
        <v>3500</v>
      </c>
      <c r="X6" s="301">
        <f t="shared" si="4"/>
        <v>3500</v>
      </c>
      <c r="Y6" s="301">
        <f t="shared" si="4"/>
        <v>3500</v>
      </c>
      <c r="Z6" s="301">
        <f t="shared" si="4"/>
        <v>3500</v>
      </c>
      <c r="AA6" s="301">
        <f t="shared" si="4"/>
        <v>3500</v>
      </c>
      <c r="AB6" s="301">
        <f t="shared" si="4"/>
        <v>3500</v>
      </c>
      <c r="AC6" s="301">
        <f t="shared" si="4"/>
        <v>3500</v>
      </c>
      <c r="AD6" s="427">
        <f t="shared" ref="AD6:AD14" si="5">SUM(R6:AC6)</f>
        <v>42000</v>
      </c>
    </row>
    <row r="7" spans="1:30">
      <c r="A7" s="6">
        <v>7</v>
      </c>
      <c r="B7" s="438" t="s">
        <v>251</v>
      </c>
      <c r="C7" s="439">
        <f>'[1]Tableau simu'!B36</f>
        <v>3000</v>
      </c>
      <c r="D7" s="440">
        <f>$C$7</f>
        <v>3000</v>
      </c>
      <c r="E7" s="301">
        <f t="shared" ref="E7:O7" si="6">$C$7</f>
        <v>3000</v>
      </c>
      <c r="F7" s="301">
        <f t="shared" si="6"/>
        <v>3000</v>
      </c>
      <c r="G7" s="301">
        <f t="shared" si="6"/>
        <v>3000</v>
      </c>
      <c r="H7" s="301">
        <f t="shared" si="6"/>
        <v>3000</v>
      </c>
      <c r="I7" s="301">
        <f t="shared" si="6"/>
        <v>3000</v>
      </c>
      <c r="J7" s="301">
        <f t="shared" si="6"/>
        <v>3000</v>
      </c>
      <c r="K7" s="301">
        <f t="shared" si="6"/>
        <v>3000</v>
      </c>
      <c r="L7" s="301">
        <f t="shared" si="6"/>
        <v>3000</v>
      </c>
      <c r="M7" s="301">
        <f t="shared" si="6"/>
        <v>3000</v>
      </c>
      <c r="N7" s="301">
        <f t="shared" si="6"/>
        <v>3000</v>
      </c>
      <c r="O7" s="301">
        <f t="shared" si="6"/>
        <v>3000</v>
      </c>
      <c r="P7" s="427">
        <f t="shared" si="3"/>
        <v>36000</v>
      </c>
      <c r="Q7" s="426">
        <v>3500</v>
      </c>
      <c r="R7" s="301">
        <f>$Q$7</f>
        <v>3500</v>
      </c>
      <c r="S7" s="301">
        <f t="shared" ref="S7:AC7" si="7">$Q$7</f>
        <v>3500</v>
      </c>
      <c r="T7" s="301">
        <f t="shared" si="7"/>
        <v>3500</v>
      </c>
      <c r="U7" s="301">
        <f t="shared" si="7"/>
        <v>3500</v>
      </c>
      <c r="V7" s="301">
        <f t="shared" si="7"/>
        <v>3500</v>
      </c>
      <c r="W7" s="301">
        <f t="shared" si="7"/>
        <v>3500</v>
      </c>
      <c r="X7" s="301">
        <f t="shared" si="7"/>
        <v>3500</v>
      </c>
      <c r="Y7" s="301">
        <f t="shared" si="7"/>
        <v>3500</v>
      </c>
      <c r="Z7" s="301">
        <f t="shared" si="7"/>
        <v>3500</v>
      </c>
      <c r="AA7" s="301">
        <f t="shared" si="7"/>
        <v>3500</v>
      </c>
      <c r="AB7" s="301">
        <f t="shared" si="7"/>
        <v>3500</v>
      </c>
      <c r="AC7" s="301">
        <f t="shared" si="7"/>
        <v>3500</v>
      </c>
      <c r="AD7" s="427">
        <f t="shared" si="5"/>
        <v>42000</v>
      </c>
    </row>
    <row r="8" spans="1:30">
      <c r="A8" s="6">
        <v>8</v>
      </c>
      <c r="B8" s="438" t="s">
        <v>252</v>
      </c>
      <c r="C8" s="439">
        <f>'[1]Tableau simu'!B37</f>
        <v>1200</v>
      </c>
      <c r="D8" s="440">
        <f>$C$8</f>
        <v>1200</v>
      </c>
      <c r="E8" s="301">
        <f t="shared" ref="E8:O8" si="8">$C$8</f>
        <v>1200</v>
      </c>
      <c r="F8" s="301">
        <f t="shared" si="8"/>
        <v>1200</v>
      </c>
      <c r="G8" s="301">
        <f t="shared" si="8"/>
        <v>1200</v>
      </c>
      <c r="H8" s="301">
        <f t="shared" si="8"/>
        <v>1200</v>
      </c>
      <c r="I8" s="301">
        <f t="shared" si="8"/>
        <v>1200</v>
      </c>
      <c r="J8" s="301">
        <f t="shared" si="8"/>
        <v>1200</v>
      </c>
      <c r="K8" s="301">
        <f t="shared" si="8"/>
        <v>1200</v>
      </c>
      <c r="L8" s="301">
        <f t="shared" si="8"/>
        <v>1200</v>
      </c>
      <c r="M8" s="301">
        <f t="shared" si="8"/>
        <v>1200</v>
      </c>
      <c r="N8" s="301">
        <f t="shared" si="8"/>
        <v>1200</v>
      </c>
      <c r="O8" s="301">
        <f t="shared" si="8"/>
        <v>1200</v>
      </c>
      <c r="P8" s="427">
        <f t="shared" si="3"/>
        <v>14400</v>
      </c>
      <c r="Q8" s="426">
        <v>1500</v>
      </c>
      <c r="R8" s="301">
        <f>$Q$8</f>
        <v>1500</v>
      </c>
      <c r="S8" s="301">
        <f t="shared" ref="S8:AC8" si="9">$Q$8</f>
        <v>1500</v>
      </c>
      <c r="T8" s="301">
        <f t="shared" si="9"/>
        <v>1500</v>
      </c>
      <c r="U8" s="301">
        <f t="shared" si="9"/>
        <v>1500</v>
      </c>
      <c r="V8" s="301">
        <f t="shared" si="9"/>
        <v>1500</v>
      </c>
      <c r="W8" s="301">
        <f t="shared" si="9"/>
        <v>1500</v>
      </c>
      <c r="X8" s="301">
        <f t="shared" si="9"/>
        <v>1500</v>
      </c>
      <c r="Y8" s="301">
        <f t="shared" si="9"/>
        <v>1500</v>
      </c>
      <c r="Z8" s="301">
        <f t="shared" si="9"/>
        <v>1500</v>
      </c>
      <c r="AA8" s="301">
        <f t="shared" si="9"/>
        <v>1500</v>
      </c>
      <c r="AB8" s="301">
        <f t="shared" si="9"/>
        <v>1500</v>
      </c>
      <c r="AC8" s="301">
        <f t="shared" si="9"/>
        <v>1500</v>
      </c>
      <c r="AD8" s="427">
        <f t="shared" si="5"/>
        <v>18000</v>
      </c>
    </row>
    <row r="9" spans="1:30">
      <c r="A9" s="6">
        <v>9</v>
      </c>
      <c r="B9" s="438" t="s">
        <v>411</v>
      </c>
      <c r="C9" s="439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427"/>
      <c r="Q9" s="426">
        <v>2800</v>
      </c>
      <c r="R9" s="428">
        <f>$Q$9</f>
        <v>2800</v>
      </c>
      <c r="S9" s="429">
        <f t="shared" ref="S9:AC9" si="10">$Q$9</f>
        <v>2800</v>
      </c>
      <c r="T9" s="429">
        <f t="shared" si="10"/>
        <v>2800</v>
      </c>
      <c r="U9" s="429">
        <f t="shared" si="10"/>
        <v>2800</v>
      </c>
      <c r="V9" s="429">
        <f t="shared" si="10"/>
        <v>2800</v>
      </c>
      <c r="W9" s="429">
        <f t="shared" si="10"/>
        <v>2800</v>
      </c>
      <c r="X9" s="429">
        <f t="shared" si="10"/>
        <v>2800</v>
      </c>
      <c r="Y9" s="429">
        <f t="shared" si="10"/>
        <v>2800</v>
      </c>
      <c r="Z9" s="429">
        <f t="shared" si="10"/>
        <v>2800</v>
      </c>
      <c r="AA9" s="429">
        <f t="shared" si="10"/>
        <v>2800</v>
      </c>
      <c r="AB9" s="429">
        <f t="shared" si="10"/>
        <v>2800</v>
      </c>
      <c r="AC9" s="429">
        <f t="shared" si="10"/>
        <v>2800</v>
      </c>
      <c r="AD9" s="427">
        <f t="shared" si="5"/>
        <v>33600</v>
      </c>
    </row>
    <row r="10" spans="1:30">
      <c r="A10" s="6">
        <v>10</v>
      </c>
      <c r="B10" s="438" t="s">
        <v>132</v>
      </c>
      <c r="C10" s="439">
        <f>'[1]Tableau simu'!B39</f>
        <v>3000</v>
      </c>
      <c r="D10" s="440">
        <f>$C$10</f>
        <v>3000</v>
      </c>
      <c r="E10" s="301">
        <f t="shared" ref="E10:O10" si="11">$C$10</f>
        <v>3000</v>
      </c>
      <c r="F10" s="301">
        <f t="shared" si="11"/>
        <v>3000</v>
      </c>
      <c r="G10" s="301">
        <f t="shared" si="11"/>
        <v>3000</v>
      </c>
      <c r="H10" s="301">
        <f t="shared" si="11"/>
        <v>3000</v>
      </c>
      <c r="I10" s="301">
        <f t="shared" si="11"/>
        <v>3000</v>
      </c>
      <c r="J10" s="301">
        <f t="shared" si="11"/>
        <v>3000</v>
      </c>
      <c r="K10" s="301">
        <f t="shared" si="11"/>
        <v>3000</v>
      </c>
      <c r="L10" s="301">
        <f t="shared" si="11"/>
        <v>3000</v>
      </c>
      <c r="M10" s="301">
        <f t="shared" si="11"/>
        <v>3000</v>
      </c>
      <c r="N10" s="301">
        <f t="shared" si="11"/>
        <v>3000</v>
      </c>
      <c r="O10" s="301">
        <f t="shared" si="11"/>
        <v>3000</v>
      </c>
      <c r="P10" s="427">
        <f t="shared" si="3"/>
        <v>36000</v>
      </c>
      <c r="Q10" s="426">
        <v>3500</v>
      </c>
      <c r="R10" s="429">
        <f>$Q$10</f>
        <v>3500</v>
      </c>
      <c r="S10" s="428">
        <f>$Q$10*2</f>
        <v>7000</v>
      </c>
      <c r="T10" s="430">
        <f t="shared" ref="T10:AC10" si="12">$Q$10*2</f>
        <v>7000</v>
      </c>
      <c r="U10" s="430">
        <f t="shared" si="12"/>
        <v>7000</v>
      </c>
      <c r="V10" s="430">
        <f t="shared" si="12"/>
        <v>7000</v>
      </c>
      <c r="W10" s="430">
        <f t="shared" si="12"/>
        <v>7000</v>
      </c>
      <c r="X10" s="430">
        <f t="shared" si="12"/>
        <v>7000</v>
      </c>
      <c r="Y10" s="430">
        <f t="shared" si="12"/>
        <v>7000</v>
      </c>
      <c r="Z10" s="430">
        <f t="shared" si="12"/>
        <v>7000</v>
      </c>
      <c r="AA10" s="430">
        <f t="shared" si="12"/>
        <v>7000</v>
      </c>
      <c r="AB10" s="430">
        <f t="shared" si="12"/>
        <v>7000</v>
      </c>
      <c r="AC10" s="430">
        <f t="shared" si="12"/>
        <v>7000</v>
      </c>
      <c r="AD10" s="427">
        <f t="shared" si="5"/>
        <v>80500</v>
      </c>
    </row>
    <row r="11" spans="1:30">
      <c r="A11" s="6">
        <v>11</v>
      </c>
      <c r="B11" s="438" t="s">
        <v>150</v>
      </c>
      <c r="C11" s="439">
        <f>'[1]Tableau simu'!B40</f>
        <v>2500</v>
      </c>
      <c r="D11" s="301"/>
      <c r="E11" s="301"/>
      <c r="F11" s="301"/>
      <c r="G11" s="440">
        <f>$C$11</f>
        <v>2500</v>
      </c>
      <c r="H11" s="301">
        <f t="shared" ref="H11:O11" si="13">$C$11</f>
        <v>2500</v>
      </c>
      <c r="I11" s="301">
        <f t="shared" si="13"/>
        <v>2500</v>
      </c>
      <c r="J11" s="301">
        <f t="shared" si="13"/>
        <v>2500</v>
      </c>
      <c r="K11" s="301">
        <f t="shared" si="13"/>
        <v>2500</v>
      </c>
      <c r="L11" s="301">
        <f t="shared" si="13"/>
        <v>2500</v>
      </c>
      <c r="M11" s="301">
        <f t="shared" si="13"/>
        <v>2500</v>
      </c>
      <c r="N11" s="301">
        <f t="shared" si="13"/>
        <v>2500</v>
      </c>
      <c r="O11" s="301">
        <f t="shared" si="13"/>
        <v>2500</v>
      </c>
      <c r="P11" s="427">
        <f t="shared" si="3"/>
        <v>22500</v>
      </c>
      <c r="Q11" s="426">
        <v>2800</v>
      </c>
      <c r="R11" s="429">
        <f>$Q$11</f>
        <v>2800</v>
      </c>
      <c r="S11" s="429">
        <f t="shared" ref="S11:V11" si="14">$Q$11</f>
        <v>2800</v>
      </c>
      <c r="T11" s="429">
        <f t="shared" si="14"/>
        <v>2800</v>
      </c>
      <c r="U11" s="429">
        <f t="shared" si="14"/>
        <v>2800</v>
      </c>
      <c r="V11" s="429">
        <f t="shared" si="14"/>
        <v>2800</v>
      </c>
      <c r="W11" s="428">
        <f>$Q$11*2</f>
        <v>5600</v>
      </c>
      <c r="X11" s="430">
        <f t="shared" ref="X11:AC11" si="15">$Q$11*2</f>
        <v>5600</v>
      </c>
      <c r="Y11" s="430">
        <f t="shared" si="15"/>
        <v>5600</v>
      </c>
      <c r="Z11" s="430">
        <f t="shared" si="15"/>
        <v>5600</v>
      </c>
      <c r="AA11" s="430">
        <f t="shared" si="15"/>
        <v>5600</v>
      </c>
      <c r="AB11" s="430">
        <f t="shared" si="15"/>
        <v>5600</v>
      </c>
      <c r="AC11" s="430">
        <f t="shared" si="15"/>
        <v>5600</v>
      </c>
      <c r="AD11" s="427">
        <f t="shared" si="5"/>
        <v>53200</v>
      </c>
    </row>
    <row r="12" spans="1:30">
      <c r="A12" s="6">
        <v>12</v>
      </c>
      <c r="B12" s="438" t="s">
        <v>256</v>
      </c>
      <c r="C12" s="439">
        <f>'[1]Tableau simu'!B41</f>
        <v>2800</v>
      </c>
      <c r="D12" s="301"/>
      <c r="E12" s="301"/>
      <c r="F12" s="301"/>
      <c r="G12" s="301"/>
      <c r="H12" s="440">
        <f>$C$12*2</f>
        <v>5600</v>
      </c>
      <c r="I12" s="301">
        <f t="shared" ref="I12:O12" si="16">$C$12*2</f>
        <v>5600</v>
      </c>
      <c r="J12" s="301">
        <f t="shared" si="16"/>
        <v>5600</v>
      </c>
      <c r="K12" s="301">
        <f t="shared" si="16"/>
        <v>5600</v>
      </c>
      <c r="L12" s="301">
        <f t="shared" si="16"/>
        <v>5600</v>
      </c>
      <c r="M12" s="301">
        <f t="shared" si="16"/>
        <v>5600</v>
      </c>
      <c r="N12" s="301">
        <f t="shared" si="16"/>
        <v>5600</v>
      </c>
      <c r="O12" s="301">
        <f t="shared" si="16"/>
        <v>5600</v>
      </c>
      <c r="P12" s="427">
        <f t="shared" si="3"/>
        <v>44800</v>
      </c>
      <c r="Q12" s="426">
        <v>3000</v>
      </c>
      <c r="R12" s="429">
        <f>$Q$12*2</f>
        <v>6000</v>
      </c>
      <c r="S12" s="429">
        <f t="shared" ref="S12:U12" si="17">$Q$12*2</f>
        <v>6000</v>
      </c>
      <c r="T12" s="429">
        <f t="shared" si="17"/>
        <v>6000</v>
      </c>
      <c r="U12" s="429">
        <f t="shared" si="17"/>
        <v>6000</v>
      </c>
      <c r="V12" s="428">
        <f>$Q$12*3</f>
        <v>9000</v>
      </c>
      <c r="W12" s="430">
        <f>$Q$12*3</f>
        <v>9000</v>
      </c>
      <c r="X12" s="430">
        <f t="shared" ref="X12:AC12" si="18">$Q$12*3</f>
        <v>9000</v>
      </c>
      <c r="Y12" s="430">
        <f t="shared" si="18"/>
        <v>9000</v>
      </c>
      <c r="Z12" s="430">
        <f t="shared" si="18"/>
        <v>9000</v>
      </c>
      <c r="AA12" s="430">
        <f t="shared" si="18"/>
        <v>9000</v>
      </c>
      <c r="AB12" s="430">
        <f t="shared" si="18"/>
        <v>9000</v>
      </c>
      <c r="AC12" s="430">
        <f t="shared" si="18"/>
        <v>9000</v>
      </c>
      <c r="AD12" s="427">
        <f t="shared" si="5"/>
        <v>96000</v>
      </c>
    </row>
    <row r="13" spans="1:30">
      <c r="A13" s="6">
        <v>13</v>
      </c>
      <c r="B13" s="438" t="s">
        <v>135</v>
      </c>
      <c r="C13" s="439">
        <f>'[1]Tableau simu'!B42</f>
        <v>1500</v>
      </c>
      <c r="D13" s="301"/>
      <c r="E13" s="301"/>
      <c r="F13" s="301"/>
      <c r="G13" s="301"/>
      <c r="H13" s="440">
        <f>$C$13</f>
        <v>1500</v>
      </c>
      <c r="I13" s="301">
        <f>$C$13</f>
        <v>1500</v>
      </c>
      <c r="J13" s="440">
        <f t="shared" ref="J13:O13" si="19">$C$13*2</f>
        <v>3000</v>
      </c>
      <c r="K13" s="301">
        <f t="shared" si="19"/>
        <v>3000</v>
      </c>
      <c r="L13" s="301">
        <f t="shared" si="19"/>
        <v>3000</v>
      </c>
      <c r="M13" s="301">
        <f t="shared" si="19"/>
        <v>3000</v>
      </c>
      <c r="N13" s="301">
        <f t="shared" si="19"/>
        <v>3000</v>
      </c>
      <c r="O13" s="301">
        <f t="shared" si="19"/>
        <v>3000</v>
      </c>
      <c r="P13" s="427">
        <f t="shared" si="3"/>
        <v>21000</v>
      </c>
      <c r="Q13" s="426">
        <v>2000</v>
      </c>
      <c r="R13" s="429">
        <f>$Q$13*2</f>
        <v>4000</v>
      </c>
      <c r="S13" s="429">
        <f t="shared" ref="S13:V13" si="20">$Q$13*2</f>
        <v>4000</v>
      </c>
      <c r="T13" s="429">
        <f t="shared" si="20"/>
        <v>4000</v>
      </c>
      <c r="U13" s="429">
        <f t="shared" si="20"/>
        <v>4000</v>
      </c>
      <c r="V13" s="429">
        <f t="shared" si="20"/>
        <v>4000</v>
      </c>
      <c r="W13" s="428">
        <f>$Q$13*3</f>
        <v>6000</v>
      </c>
      <c r="X13" s="430">
        <f t="shared" ref="X13:AC13" si="21">$Q$13*3</f>
        <v>6000</v>
      </c>
      <c r="Y13" s="430">
        <f t="shared" si="21"/>
        <v>6000</v>
      </c>
      <c r="Z13" s="430">
        <f t="shared" si="21"/>
        <v>6000</v>
      </c>
      <c r="AA13" s="430">
        <f t="shared" si="21"/>
        <v>6000</v>
      </c>
      <c r="AB13" s="430">
        <f t="shared" si="21"/>
        <v>6000</v>
      </c>
      <c r="AC13" s="430">
        <f t="shared" si="21"/>
        <v>6000</v>
      </c>
      <c r="AD13" s="427">
        <f t="shared" si="5"/>
        <v>62000</v>
      </c>
    </row>
    <row r="14" spans="1:30">
      <c r="A14" s="6">
        <v>14</v>
      </c>
      <c r="B14" s="441" t="s">
        <v>269</v>
      </c>
      <c r="C14" s="442">
        <f>'[1]Tableau simu'!B43</f>
        <v>0</v>
      </c>
      <c r="D14" s="301"/>
      <c r="E14" s="301"/>
      <c r="F14" s="301"/>
      <c r="G14" s="301"/>
      <c r="H14" s="317">
        <f>$C$14</f>
        <v>0</v>
      </c>
      <c r="I14" s="317">
        <f t="shared" ref="I14:O14" si="22">$C$14</f>
        <v>0</v>
      </c>
      <c r="J14" s="317">
        <f t="shared" si="22"/>
        <v>0</v>
      </c>
      <c r="K14" s="317">
        <f t="shared" si="22"/>
        <v>0</v>
      </c>
      <c r="L14" s="317">
        <f t="shared" si="22"/>
        <v>0</v>
      </c>
      <c r="M14" s="317">
        <f t="shared" si="22"/>
        <v>0</v>
      </c>
      <c r="N14" s="317">
        <f t="shared" si="22"/>
        <v>0</v>
      </c>
      <c r="O14" s="317">
        <f t="shared" si="22"/>
        <v>0</v>
      </c>
      <c r="P14" s="443">
        <f t="shared" si="3"/>
        <v>0</v>
      </c>
      <c r="Q14" s="301">
        <f>'[1]Tableau simu'!C43</f>
        <v>0</v>
      </c>
      <c r="R14" s="301">
        <f>$Q14</f>
        <v>0</v>
      </c>
      <c r="S14" s="301">
        <f t="shared" ref="S14:AC14" si="23">$Q14</f>
        <v>0</v>
      </c>
      <c r="T14" s="301">
        <f t="shared" si="23"/>
        <v>0</v>
      </c>
      <c r="U14" s="301">
        <f t="shared" si="23"/>
        <v>0</v>
      </c>
      <c r="V14" s="301">
        <f t="shared" si="23"/>
        <v>0</v>
      </c>
      <c r="W14" s="301">
        <f t="shared" si="23"/>
        <v>0</v>
      </c>
      <c r="X14" s="301">
        <f t="shared" si="23"/>
        <v>0</v>
      </c>
      <c r="Y14" s="301">
        <f t="shared" si="23"/>
        <v>0</v>
      </c>
      <c r="Z14" s="301">
        <f t="shared" si="23"/>
        <v>0</v>
      </c>
      <c r="AA14" s="301">
        <f t="shared" si="23"/>
        <v>0</v>
      </c>
      <c r="AB14" s="301">
        <f t="shared" si="23"/>
        <v>0</v>
      </c>
      <c r="AC14" s="301">
        <f t="shared" si="23"/>
        <v>0</v>
      </c>
      <c r="AD14" s="427">
        <f t="shared" si="5"/>
        <v>0</v>
      </c>
    </row>
    <row r="15" spans="1:30" ht="13" thickBot="1">
      <c r="A15" s="6">
        <v>15</v>
      </c>
      <c r="B15" s="444" t="s">
        <v>258</v>
      </c>
      <c r="C15" s="445"/>
      <c r="D15" s="446">
        <f>SUM(D5:D14)</f>
        <v>13200</v>
      </c>
      <c r="E15" s="446">
        <f t="shared" ref="E15:O15" si="24">SUM(E5:E14)</f>
        <v>13200</v>
      </c>
      <c r="F15" s="446">
        <f t="shared" si="24"/>
        <v>13200</v>
      </c>
      <c r="G15" s="446">
        <f t="shared" si="24"/>
        <v>15700</v>
      </c>
      <c r="H15" s="446">
        <f t="shared" si="24"/>
        <v>22800</v>
      </c>
      <c r="I15" s="446">
        <f t="shared" si="24"/>
        <v>22800</v>
      </c>
      <c r="J15" s="446">
        <f t="shared" si="24"/>
        <v>24300</v>
      </c>
      <c r="K15" s="446">
        <f t="shared" si="24"/>
        <v>24300</v>
      </c>
      <c r="L15" s="446">
        <f t="shared" si="24"/>
        <v>24300</v>
      </c>
      <c r="M15" s="446">
        <f t="shared" si="24"/>
        <v>24300</v>
      </c>
      <c r="N15" s="446">
        <f t="shared" si="24"/>
        <v>24300</v>
      </c>
      <c r="O15" s="446">
        <f t="shared" si="24"/>
        <v>24300</v>
      </c>
      <c r="P15" s="160">
        <f>SUM(P5:P14)</f>
        <v>246700</v>
      </c>
      <c r="Q15" s="446"/>
      <c r="R15" s="446">
        <f t="shared" ref="R15:AD15" si="25">SUM(R5:R14)</f>
        <v>31100</v>
      </c>
      <c r="S15" s="446">
        <f t="shared" si="25"/>
        <v>34600</v>
      </c>
      <c r="T15" s="446">
        <f t="shared" si="25"/>
        <v>34600</v>
      </c>
      <c r="U15" s="446">
        <f t="shared" si="25"/>
        <v>34600</v>
      </c>
      <c r="V15" s="446">
        <f t="shared" si="25"/>
        <v>37600</v>
      </c>
      <c r="W15" s="446">
        <f t="shared" si="25"/>
        <v>42400</v>
      </c>
      <c r="X15" s="446">
        <f t="shared" si="25"/>
        <v>42400</v>
      </c>
      <c r="Y15" s="446">
        <f t="shared" si="25"/>
        <v>42400</v>
      </c>
      <c r="Z15" s="446">
        <f t="shared" si="25"/>
        <v>42400</v>
      </c>
      <c r="AA15" s="446">
        <f t="shared" si="25"/>
        <v>42400</v>
      </c>
      <c r="AB15" s="446">
        <f t="shared" si="25"/>
        <v>42400</v>
      </c>
      <c r="AC15" s="446">
        <f t="shared" si="25"/>
        <v>42400</v>
      </c>
      <c r="AD15" s="447">
        <f t="shared" si="25"/>
        <v>469300</v>
      </c>
    </row>
    <row r="16" spans="1:30">
      <c r="A16" s="101" t="s">
        <v>444</v>
      </c>
    </row>
  </sheetData>
  <mergeCells count="2">
    <mergeCell ref="C2:P2"/>
    <mergeCell ref="Q2:AD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37"/>
  <sheetViews>
    <sheetView workbookViewId="0">
      <selection activeCell="E17" sqref="E17"/>
    </sheetView>
  </sheetViews>
  <sheetFormatPr baseColWidth="10" defaultRowHeight="12" x14ac:dyDescent="0"/>
  <cols>
    <col min="1" max="1" width="3" bestFit="1" customWidth="1"/>
    <col min="2" max="2" width="32" bestFit="1" customWidth="1"/>
    <col min="3" max="3" width="5.33203125" bestFit="1" customWidth="1"/>
    <col min="4" max="4" width="5" bestFit="1" customWidth="1"/>
    <col min="5" max="5" width="5.5" bestFit="1" customWidth="1"/>
    <col min="6" max="6" width="5.33203125" bestFit="1" customWidth="1"/>
    <col min="7" max="7" width="4.1640625" bestFit="1" customWidth="1"/>
    <col min="8" max="8" width="7.5" bestFit="1" customWidth="1"/>
    <col min="9" max="9" width="5.1640625" bestFit="1" customWidth="1"/>
    <col min="10" max="10" width="4.1640625" bestFit="1" customWidth="1"/>
    <col min="11" max="11" width="5.5" style="33" bestFit="1" customWidth="1"/>
    <col min="12" max="12" width="7.5" style="33" bestFit="1" customWidth="1"/>
    <col min="13" max="13" width="5.1640625" style="33" bestFit="1" customWidth="1"/>
    <col min="14" max="14" width="4.6640625" style="33" customWidth="1"/>
    <col min="15" max="15" width="5.5" style="33" bestFit="1" customWidth="1"/>
    <col min="16" max="16" width="5.33203125" bestFit="1" customWidth="1"/>
    <col min="17" max="17" width="4.1640625" bestFit="1" customWidth="1"/>
    <col min="18" max="18" width="7.5" bestFit="1" customWidth="1"/>
    <col min="19" max="19" width="5.1640625" bestFit="1" customWidth="1"/>
    <col min="20" max="20" width="4.1640625" bestFit="1" customWidth="1"/>
    <col min="21" max="21" width="5.5" bestFit="1" customWidth="1"/>
    <col min="22" max="22" width="7.5" bestFit="1" customWidth="1"/>
  </cols>
  <sheetData>
    <row r="1" spans="1:22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425" t="s">
        <v>619</v>
      </c>
      <c r="L1" s="424" t="s">
        <v>620</v>
      </c>
      <c r="M1" s="424" t="s">
        <v>326</v>
      </c>
      <c r="N1" s="424" t="s">
        <v>330</v>
      </c>
      <c r="O1" s="424" t="s">
        <v>329</v>
      </c>
      <c r="P1" s="424" t="s">
        <v>621</v>
      </c>
      <c r="Q1" s="424" t="s">
        <v>622</v>
      </c>
      <c r="R1" s="424" t="s">
        <v>623</v>
      </c>
      <c r="S1" s="424" t="s">
        <v>328</v>
      </c>
      <c r="T1" s="424" t="s">
        <v>624</v>
      </c>
      <c r="U1" s="424" t="s">
        <v>625</v>
      </c>
      <c r="V1" s="424" t="s">
        <v>626</v>
      </c>
    </row>
    <row r="2" spans="1:22">
      <c r="A2" s="6">
        <v>2</v>
      </c>
      <c r="B2" s="162"/>
      <c r="C2" s="482" t="s">
        <v>168</v>
      </c>
      <c r="D2" s="482"/>
      <c r="E2" s="482"/>
      <c r="F2" s="482"/>
      <c r="G2" s="482"/>
      <c r="H2" s="482"/>
      <c r="I2" s="482"/>
      <c r="J2" s="482"/>
      <c r="K2" s="482"/>
      <c r="L2" s="299"/>
      <c r="M2" s="482" t="s">
        <v>432</v>
      </c>
      <c r="N2" s="482"/>
      <c r="O2" s="482"/>
      <c r="P2" s="482"/>
      <c r="Q2" s="482"/>
      <c r="R2" s="482"/>
      <c r="S2" s="482"/>
      <c r="T2" s="482"/>
      <c r="U2" s="482"/>
      <c r="V2" s="299"/>
    </row>
    <row r="3" spans="1:22" ht="38.25" customHeight="1">
      <c r="A3" s="6">
        <v>3</v>
      </c>
      <c r="B3" s="319" t="s">
        <v>170</v>
      </c>
      <c r="C3" s="483" t="s">
        <v>173</v>
      </c>
      <c r="D3" s="483"/>
      <c r="E3" s="483"/>
      <c r="F3" s="484" t="s">
        <v>437</v>
      </c>
      <c r="G3" s="484"/>
      <c r="H3" s="484"/>
      <c r="I3" s="484" t="s">
        <v>174</v>
      </c>
      <c r="J3" s="484"/>
      <c r="K3" s="484"/>
      <c r="L3" s="320" t="s">
        <v>257</v>
      </c>
      <c r="M3" s="483" t="s">
        <v>173</v>
      </c>
      <c r="N3" s="483"/>
      <c r="O3" s="483"/>
      <c r="P3" s="484" t="s">
        <v>437</v>
      </c>
      <c r="Q3" s="484"/>
      <c r="R3" s="484"/>
      <c r="S3" s="484" t="s">
        <v>174</v>
      </c>
      <c r="T3" s="484"/>
      <c r="U3" s="484"/>
      <c r="V3" s="320" t="s">
        <v>257</v>
      </c>
    </row>
    <row r="4" spans="1:22">
      <c r="A4" s="6">
        <v>4</v>
      </c>
      <c r="B4" s="162"/>
      <c r="C4" s="301" t="s">
        <v>169</v>
      </c>
      <c r="D4" s="301" t="s">
        <v>172</v>
      </c>
      <c r="E4" s="301" t="s">
        <v>171</v>
      </c>
      <c r="F4" s="301" t="s">
        <v>169</v>
      </c>
      <c r="G4" s="301" t="s">
        <v>172</v>
      </c>
      <c r="H4" s="301" t="s">
        <v>171</v>
      </c>
      <c r="I4" s="301" t="s">
        <v>169</v>
      </c>
      <c r="J4" s="301" t="s">
        <v>172</v>
      </c>
      <c r="K4" s="301" t="s">
        <v>171</v>
      </c>
      <c r="L4" s="301" t="s">
        <v>257</v>
      </c>
      <c r="M4" s="301" t="s">
        <v>169</v>
      </c>
      <c r="N4" s="301" t="s">
        <v>172</v>
      </c>
      <c r="O4" s="301" t="s">
        <v>171</v>
      </c>
      <c r="P4" s="301" t="s">
        <v>169</v>
      </c>
      <c r="Q4" s="301" t="s">
        <v>172</v>
      </c>
      <c r="R4" s="301" t="s">
        <v>171</v>
      </c>
      <c r="S4" s="301" t="s">
        <v>169</v>
      </c>
      <c r="T4" s="301" t="s">
        <v>172</v>
      </c>
      <c r="U4" s="301" t="s">
        <v>171</v>
      </c>
      <c r="V4" s="301" t="s">
        <v>257</v>
      </c>
    </row>
    <row r="5" spans="1:22">
      <c r="A5" s="6">
        <v>5</v>
      </c>
      <c r="B5" s="220" t="s">
        <v>60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</row>
    <row r="6" spans="1:22">
      <c r="A6" s="6">
        <v>6</v>
      </c>
      <c r="B6" s="300" t="s">
        <v>159</v>
      </c>
      <c r="C6" s="300"/>
      <c r="D6" s="300"/>
      <c r="E6" s="300"/>
      <c r="F6" s="321">
        <v>2500</v>
      </c>
      <c r="G6" s="321">
        <v>12</v>
      </c>
      <c r="H6" s="311">
        <f>(F6/3)</f>
        <v>833.33333333333337</v>
      </c>
      <c r="I6" s="321">
        <v>200</v>
      </c>
      <c r="J6" s="321">
        <v>12</v>
      </c>
      <c r="K6" s="300">
        <f>I6/5</f>
        <v>40</v>
      </c>
      <c r="L6" s="311">
        <f>H6+K6</f>
        <v>873.33333333333337</v>
      </c>
      <c r="M6" s="300"/>
      <c r="N6" s="300"/>
      <c r="O6" s="300"/>
      <c r="P6" s="300"/>
      <c r="Q6" s="321"/>
      <c r="R6" s="311"/>
      <c r="S6" s="300"/>
      <c r="T6" s="321"/>
      <c r="U6" s="300"/>
      <c r="V6" s="311"/>
    </row>
    <row r="7" spans="1:22">
      <c r="A7" s="6">
        <v>7</v>
      </c>
      <c r="B7" s="300" t="s">
        <v>160</v>
      </c>
      <c r="C7" s="300"/>
      <c r="D7" s="300"/>
      <c r="E7" s="300"/>
      <c r="F7" s="321">
        <v>2500</v>
      </c>
      <c r="G7" s="321">
        <v>12</v>
      </c>
      <c r="H7" s="311">
        <f>(F7/3)</f>
        <v>833.33333333333337</v>
      </c>
      <c r="I7" s="321">
        <v>200</v>
      </c>
      <c r="J7" s="321">
        <v>12</v>
      </c>
      <c r="K7" s="300">
        <f>I7/5</f>
        <v>40</v>
      </c>
      <c r="L7" s="311">
        <f t="shared" ref="L7:L19" si="0">H7+K7</f>
        <v>873.33333333333337</v>
      </c>
      <c r="M7" s="300"/>
      <c r="N7" s="300"/>
      <c r="O7" s="300"/>
      <c r="P7" s="300"/>
      <c r="Q7" s="321"/>
      <c r="R7" s="311"/>
      <c r="S7" s="300"/>
      <c r="T7" s="321"/>
      <c r="U7" s="300"/>
      <c r="V7" s="311"/>
    </row>
    <row r="8" spans="1:22">
      <c r="A8" s="6">
        <v>8</v>
      </c>
      <c r="B8" s="300" t="s">
        <v>161</v>
      </c>
      <c r="C8" s="300"/>
      <c r="D8" s="300"/>
      <c r="E8" s="300"/>
      <c r="F8" s="321">
        <v>5000</v>
      </c>
      <c r="G8" s="321">
        <v>12</v>
      </c>
      <c r="H8" s="311">
        <f>(F8/3)</f>
        <v>1666.6666666666667</v>
      </c>
      <c r="I8" s="321">
        <v>200</v>
      </c>
      <c r="J8" s="321">
        <v>12</v>
      </c>
      <c r="K8" s="300">
        <f>I8/5</f>
        <v>40</v>
      </c>
      <c r="L8" s="311">
        <f t="shared" si="0"/>
        <v>1706.6666666666667</v>
      </c>
      <c r="M8" s="300"/>
      <c r="N8" s="300"/>
      <c r="O8" s="300"/>
      <c r="P8" s="300"/>
      <c r="Q8" s="321"/>
      <c r="R8" s="311"/>
      <c r="S8" s="300"/>
      <c r="T8" s="321"/>
      <c r="U8" s="300"/>
      <c r="V8" s="311"/>
    </row>
    <row r="9" spans="1:22">
      <c r="A9" s="6">
        <v>9</v>
      </c>
      <c r="B9" s="300" t="s">
        <v>133</v>
      </c>
      <c r="C9" s="300"/>
      <c r="D9" s="300"/>
      <c r="E9" s="300"/>
      <c r="F9" s="321">
        <v>2500</v>
      </c>
      <c r="G9" s="321">
        <v>12</v>
      </c>
      <c r="H9" s="311">
        <f>(F9/3)</f>
        <v>833.33333333333337</v>
      </c>
      <c r="I9" s="321">
        <v>150</v>
      </c>
      <c r="J9" s="321">
        <v>12</v>
      </c>
      <c r="K9" s="300">
        <f>I9/5</f>
        <v>30</v>
      </c>
      <c r="L9" s="311">
        <f t="shared" si="0"/>
        <v>863.33333333333337</v>
      </c>
      <c r="M9" s="300"/>
      <c r="N9" s="300"/>
      <c r="O9" s="300"/>
      <c r="P9" s="300"/>
      <c r="Q9" s="321"/>
      <c r="R9" s="311"/>
      <c r="S9" s="300"/>
      <c r="T9" s="321"/>
      <c r="U9" s="300"/>
      <c r="V9" s="311"/>
    </row>
    <row r="10" spans="1:22">
      <c r="A10" s="6">
        <v>10</v>
      </c>
      <c r="B10" s="300" t="s">
        <v>411</v>
      </c>
      <c r="C10" s="300"/>
      <c r="D10" s="300"/>
      <c r="E10" s="300"/>
      <c r="F10" s="321"/>
      <c r="G10" s="321"/>
      <c r="H10" s="311"/>
      <c r="I10" s="321"/>
      <c r="J10" s="321"/>
      <c r="K10" s="300"/>
      <c r="L10" s="311"/>
      <c r="M10" s="300"/>
      <c r="N10" s="300"/>
      <c r="O10" s="300"/>
      <c r="P10" s="321"/>
      <c r="Q10" s="321"/>
      <c r="R10" s="311"/>
      <c r="S10" s="321"/>
      <c r="T10" s="321"/>
      <c r="U10" s="300"/>
      <c r="V10" s="311"/>
    </row>
    <row r="11" spans="1:22">
      <c r="A11" s="6">
        <v>11</v>
      </c>
      <c r="B11" s="300" t="s">
        <v>162</v>
      </c>
      <c r="C11" s="300"/>
      <c r="D11" s="300"/>
      <c r="E11" s="300"/>
      <c r="F11" s="321">
        <v>2500</v>
      </c>
      <c r="G11" s="321">
        <v>12</v>
      </c>
      <c r="H11" s="311">
        <f>(F11/3)</f>
        <v>833.33333333333337</v>
      </c>
      <c r="I11" s="321">
        <v>150</v>
      </c>
      <c r="J11" s="321">
        <v>12</v>
      </c>
      <c r="K11" s="300">
        <f>I11/5</f>
        <v>30</v>
      </c>
      <c r="L11" s="311">
        <f t="shared" si="0"/>
        <v>863.33333333333337</v>
      </c>
      <c r="M11" s="300"/>
      <c r="N11" s="300"/>
      <c r="O11" s="300"/>
      <c r="P11" s="300"/>
      <c r="Q11" s="321"/>
      <c r="R11" s="311"/>
      <c r="S11" s="321"/>
      <c r="T11" s="321"/>
      <c r="U11" s="300"/>
      <c r="V11" s="311"/>
    </row>
    <row r="12" spans="1:22">
      <c r="A12" s="6">
        <v>12</v>
      </c>
      <c r="B12" s="300" t="s">
        <v>433</v>
      </c>
      <c r="C12" s="300"/>
      <c r="D12" s="300"/>
      <c r="E12" s="300"/>
      <c r="F12" s="321"/>
      <c r="G12" s="321"/>
      <c r="H12" s="311"/>
      <c r="I12" s="321"/>
      <c r="J12" s="321"/>
      <c r="K12" s="300"/>
      <c r="L12" s="311"/>
      <c r="M12" s="300"/>
      <c r="N12" s="300"/>
      <c r="O12" s="300"/>
      <c r="P12" s="321"/>
      <c r="Q12" s="321"/>
      <c r="R12" s="311"/>
      <c r="S12" s="321"/>
      <c r="T12" s="321"/>
      <c r="U12" s="300"/>
      <c r="V12" s="311"/>
    </row>
    <row r="13" spans="1:22">
      <c r="A13" s="6">
        <v>13</v>
      </c>
      <c r="B13" s="300" t="s">
        <v>163</v>
      </c>
      <c r="C13" s="300"/>
      <c r="D13" s="300"/>
      <c r="E13" s="300"/>
      <c r="F13" s="321">
        <v>5000</v>
      </c>
      <c r="G13" s="321">
        <v>9</v>
      </c>
      <c r="H13" s="311">
        <f t="shared" ref="H13:H22" si="1">(F13/3)*G13/12</f>
        <v>1250</v>
      </c>
      <c r="I13" s="321">
        <v>150</v>
      </c>
      <c r="J13" s="321">
        <v>9</v>
      </c>
      <c r="K13" s="300">
        <f>(I13/5)*9/12</f>
        <v>22.5</v>
      </c>
      <c r="L13" s="311">
        <f t="shared" si="0"/>
        <v>1272.5</v>
      </c>
      <c r="M13" s="300"/>
      <c r="N13" s="300"/>
      <c r="O13" s="300"/>
      <c r="P13" s="300"/>
      <c r="Q13" s="321"/>
      <c r="R13" s="311"/>
      <c r="S13" s="321"/>
      <c r="T13" s="321"/>
      <c r="U13" s="300"/>
      <c r="V13" s="311"/>
    </row>
    <row r="14" spans="1:22">
      <c r="A14" s="6">
        <v>14</v>
      </c>
      <c r="B14" s="300" t="s">
        <v>434</v>
      </c>
      <c r="C14" s="300"/>
      <c r="D14" s="300"/>
      <c r="E14" s="300"/>
      <c r="F14" s="321"/>
      <c r="G14" s="321"/>
      <c r="H14" s="311"/>
      <c r="I14" s="321"/>
      <c r="J14" s="321"/>
      <c r="K14" s="300"/>
      <c r="L14" s="311"/>
      <c r="M14" s="300"/>
      <c r="N14" s="300"/>
      <c r="O14" s="300"/>
      <c r="P14" s="321"/>
      <c r="Q14" s="321"/>
      <c r="R14" s="311"/>
      <c r="S14" s="321"/>
      <c r="T14" s="321"/>
      <c r="U14" s="300"/>
      <c r="V14" s="311"/>
    </row>
    <row r="15" spans="1:22">
      <c r="A15" s="6">
        <v>15</v>
      </c>
      <c r="B15" s="300" t="s">
        <v>164</v>
      </c>
      <c r="C15" s="300"/>
      <c r="D15" s="300"/>
      <c r="E15" s="300"/>
      <c r="F15" s="321">
        <v>5000</v>
      </c>
      <c r="G15" s="321">
        <v>8</v>
      </c>
      <c r="H15" s="311">
        <f t="shared" si="1"/>
        <v>1111.1111111111111</v>
      </c>
      <c r="I15" s="321">
        <v>150</v>
      </c>
      <c r="J15" s="321">
        <v>8</v>
      </c>
      <c r="K15" s="300">
        <f>(I15/5)*8/12</f>
        <v>20</v>
      </c>
      <c r="L15" s="311">
        <f t="shared" si="0"/>
        <v>1131.1111111111111</v>
      </c>
      <c r="M15" s="300"/>
      <c r="N15" s="300"/>
      <c r="O15" s="300"/>
      <c r="P15" s="300"/>
      <c r="Q15" s="321"/>
      <c r="R15" s="311"/>
      <c r="S15" s="321"/>
      <c r="T15" s="321"/>
      <c r="U15" s="300"/>
      <c r="V15" s="311"/>
    </row>
    <row r="16" spans="1:22">
      <c r="A16" s="6">
        <v>16</v>
      </c>
      <c r="B16" s="300" t="s">
        <v>165</v>
      </c>
      <c r="C16" s="300"/>
      <c r="D16" s="300"/>
      <c r="E16" s="300"/>
      <c r="F16" s="321">
        <v>5000</v>
      </c>
      <c r="G16" s="321">
        <v>8</v>
      </c>
      <c r="H16" s="311">
        <f t="shared" si="1"/>
        <v>1111.1111111111111</v>
      </c>
      <c r="I16" s="321">
        <v>150</v>
      </c>
      <c r="J16" s="321">
        <v>8</v>
      </c>
      <c r="K16" s="300">
        <f>(I16/5)*8/12</f>
        <v>20</v>
      </c>
      <c r="L16" s="311">
        <f t="shared" si="0"/>
        <v>1131.1111111111111</v>
      </c>
      <c r="M16" s="300"/>
      <c r="N16" s="300"/>
      <c r="O16" s="300"/>
      <c r="P16" s="300"/>
      <c r="Q16" s="321"/>
      <c r="R16" s="311"/>
      <c r="S16" s="321"/>
      <c r="T16" s="321"/>
      <c r="U16" s="300"/>
      <c r="V16" s="311"/>
    </row>
    <row r="17" spans="1:22">
      <c r="A17" s="6">
        <v>17</v>
      </c>
      <c r="B17" s="300" t="s">
        <v>435</v>
      </c>
      <c r="C17" s="300"/>
      <c r="D17" s="300"/>
      <c r="E17" s="300"/>
      <c r="F17" s="321"/>
      <c r="G17" s="321"/>
      <c r="H17" s="311"/>
      <c r="I17" s="321"/>
      <c r="J17" s="321"/>
      <c r="K17" s="300"/>
      <c r="L17" s="311"/>
      <c r="M17" s="300"/>
      <c r="N17" s="300"/>
      <c r="O17" s="300"/>
      <c r="P17" s="321"/>
      <c r="Q17" s="321"/>
      <c r="R17" s="311"/>
      <c r="S17" s="321"/>
      <c r="T17" s="321"/>
      <c r="U17" s="300"/>
      <c r="V17" s="311"/>
    </row>
    <row r="18" spans="1:22">
      <c r="A18" s="6">
        <v>18</v>
      </c>
      <c r="B18" s="300" t="s">
        <v>166</v>
      </c>
      <c r="C18" s="300"/>
      <c r="D18" s="300"/>
      <c r="E18" s="300"/>
      <c r="F18" s="321">
        <v>5000</v>
      </c>
      <c r="G18" s="321">
        <v>8</v>
      </c>
      <c r="H18" s="311">
        <f t="shared" si="1"/>
        <v>1111.1111111111111</v>
      </c>
      <c r="I18" s="321">
        <v>150</v>
      </c>
      <c r="J18" s="321">
        <v>8</v>
      </c>
      <c r="K18" s="300">
        <f>(I18/5)*8/12</f>
        <v>20</v>
      </c>
      <c r="L18" s="311">
        <f t="shared" si="0"/>
        <v>1131.1111111111111</v>
      </c>
      <c r="M18" s="300"/>
      <c r="N18" s="300"/>
      <c r="O18" s="300"/>
      <c r="P18" s="300"/>
      <c r="Q18" s="321"/>
      <c r="R18" s="311"/>
      <c r="S18" s="321"/>
      <c r="T18" s="321"/>
      <c r="U18" s="300"/>
      <c r="V18" s="311"/>
    </row>
    <row r="19" spans="1:22">
      <c r="A19" s="6">
        <v>19</v>
      </c>
      <c r="B19" s="300" t="s">
        <v>167</v>
      </c>
      <c r="C19" s="300"/>
      <c r="D19" s="300"/>
      <c r="E19" s="300"/>
      <c r="F19" s="321">
        <v>5000</v>
      </c>
      <c r="G19" s="321">
        <v>6</v>
      </c>
      <c r="H19" s="311">
        <f t="shared" si="1"/>
        <v>833.33333333333337</v>
      </c>
      <c r="I19" s="321">
        <v>150</v>
      </c>
      <c r="J19" s="321">
        <v>6</v>
      </c>
      <c r="K19" s="300">
        <f>(I19/5)*6/12</f>
        <v>15</v>
      </c>
      <c r="L19" s="311">
        <f t="shared" si="0"/>
        <v>848.33333333333337</v>
      </c>
      <c r="M19" s="300"/>
      <c r="N19" s="300"/>
      <c r="O19" s="300"/>
      <c r="P19" s="300"/>
      <c r="Q19" s="321"/>
      <c r="R19" s="311"/>
      <c r="S19" s="321"/>
      <c r="T19" s="321"/>
      <c r="U19" s="300"/>
      <c r="V19" s="311"/>
    </row>
    <row r="20" spans="1:22">
      <c r="A20" s="6">
        <v>20</v>
      </c>
      <c r="B20" s="300" t="s">
        <v>436</v>
      </c>
      <c r="C20" s="300"/>
      <c r="D20" s="300"/>
      <c r="E20" s="300"/>
      <c r="F20" s="321"/>
      <c r="G20" s="321"/>
      <c r="H20" s="311"/>
      <c r="I20" s="321"/>
      <c r="J20" s="321"/>
      <c r="K20" s="300"/>
      <c r="L20" s="311"/>
      <c r="M20" s="300"/>
      <c r="N20" s="300"/>
      <c r="O20" s="300"/>
      <c r="P20" s="321"/>
      <c r="Q20" s="321"/>
      <c r="R20" s="311"/>
      <c r="S20" s="321"/>
      <c r="T20" s="321"/>
      <c r="U20" s="300"/>
      <c r="V20" s="311"/>
    </row>
    <row r="21" spans="1:22">
      <c r="A21" s="6">
        <v>21</v>
      </c>
      <c r="B21" s="300" t="s">
        <v>269</v>
      </c>
      <c r="C21" s="300"/>
      <c r="D21" s="300"/>
      <c r="E21" s="300"/>
      <c r="F21" s="321">
        <f>IF('Tableau simu'!B43&gt;0,5000,0)</f>
        <v>0</v>
      </c>
      <c r="G21" s="321">
        <v>8</v>
      </c>
      <c r="H21" s="311">
        <f t="shared" si="1"/>
        <v>0</v>
      </c>
      <c r="I21" s="321">
        <f>IF('Tableau simu'!B43&gt;0,150,0)</f>
        <v>0</v>
      </c>
      <c r="J21" s="321">
        <v>8</v>
      </c>
      <c r="K21" s="300">
        <f>(I21/5)*8/12</f>
        <v>0</v>
      </c>
      <c r="L21" s="311"/>
      <c r="M21" s="300"/>
      <c r="N21" s="300"/>
      <c r="O21" s="300"/>
      <c r="P21" s="321"/>
      <c r="Q21" s="321"/>
      <c r="R21" s="311"/>
      <c r="S21" s="321"/>
      <c r="T21" s="321"/>
      <c r="U21" s="300"/>
      <c r="V21" s="311"/>
    </row>
    <row r="22" spans="1:22">
      <c r="A22" s="6">
        <v>22</v>
      </c>
      <c r="B22" s="300" t="s">
        <v>175</v>
      </c>
      <c r="C22" s="321">
        <v>2000</v>
      </c>
      <c r="D22" s="321">
        <v>12</v>
      </c>
      <c r="E22" s="300">
        <f>C22/5</f>
        <v>400</v>
      </c>
      <c r="F22" s="321">
        <v>5000</v>
      </c>
      <c r="G22" s="321">
        <v>12</v>
      </c>
      <c r="H22" s="311">
        <f t="shared" si="1"/>
        <v>1666.6666666666667</v>
      </c>
      <c r="I22" s="321">
        <v>300</v>
      </c>
      <c r="J22" s="321">
        <v>12</v>
      </c>
      <c r="K22" s="300">
        <f>I22/5</f>
        <v>60</v>
      </c>
      <c r="L22" s="311">
        <f>E22+H22+K22</f>
        <v>2126.666666666667</v>
      </c>
      <c r="M22" s="321"/>
      <c r="N22" s="321"/>
      <c r="O22" s="300"/>
      <c r="P22" s="300"/>
      <c r="Q22" s="321"/>
      <c r="R22" s="311"/>
      <c r="S22" s="321"/>
      <c r="T22" s="321"/>
      <c r="U22" s="300"/>
      <c r="V22" s="311"/>
    </row>
    <row r="23" spans="1:22">
      <c r="A23" s="6">
        <v>23</v>
      </c>
      <c r="B23" s="300" t="s">
        <v>176</v>
      </c>
      <c r="C23" s="321">
        <v>3000</v>
      </c>
      <c r="D23" s="321">
        <v>12</v>
      </c>
      <c r="E23" s="300">
        <f>C23/5</f>
        <v>600</v>
      </c>
      <c r="F23" s="300"/>
      <c r="G23" s="300"/>
      <c r="H23" s="300"/>
      <c r="I23" s="300"/>
      <c r="J23" s="300"/>
      <c r="K23" s="300"/>
      <c r="L23" s="311">
        <f>E23+H23+K23</f>
        <v>600</v>
      </c>
      <c r="M23" s="321"/>
      <c r="N23" s="321"/>
      <c r="O23" s="300"/>
      <c r="P23" s="300"/>
      <c r="Q23" s="300"/>
      <c r="R23" s="311"/>
      <c r="S23" s="300"/>
      <c r="T23" s="300"/>
      <c r="U23" s="300"/>
      <c r="V23" s="311"/>
    </row>
    <row r="24" spans="1:22">
      <c r="A24" s="6">
        <v>24</v>
      </c>
      <c r="B24" s="304" t="s">
        <v>440</v>
      </c>
      <c r="C24" s="300">
        <f>SUM(C22:C23)</f>
        <v>5000</v>
      </c>
      <c r="D24" s="300"/>
      <c r="E24" s="300"/>
      <c r="F24" s="300">
        <f>SUM(F6:F23)</f>
        <v>45000</v>
      </c>
      <c r="G24" s="300"/>
      <c r="H24" s="300"/>
      <c r="I24" s="300">
        <f>SUM(I6:I23)</f>
        <v>1950</v>
      </c>
      <c r="J24" s="300"/>
      <c r="K24" s="300"/>
      <c r="L24" s="311">
        <f>C24+F24+I24</f>
        <v>51950</v>
      </c>
      <c r="M24" s="300"/>
      <c r="N24" s="300"/>
      <c r="O24" s="300"/>
      <c r="P24" s="300"/>
      <c r="Q24" s="300"/>
      <c r="R24" s="300"/>
      <c r="S24" s="300"/>
      <c r="T24" s="300"/>
      <c r="U24" s="300"/>
      <c r="V24" s="311"/>
    </row>
    <row r="25" spans="1:22">
      <c r="A25" s="6">
        <v>25</v>
      </c>
      <c r="B25" s="304" t="s">
        <v>441</v>
      </c>
      <c r="C25" s="300"/>
      <c r="D25" s="300"/>
      <c r="E25" s="300">
        <f>SUM(E6:E23)</f>
        <v>1000</v>
      </c>
      <c r="F25" s="300"/>
      <c r="G25" s="300"/>
      <c r="H25" s="311">
        <f>SUM(H6:H23)</f>
        <v>12083.333333333334</v>
      </c>
      <c r="I25" s="300"/>
      <c r="J25" s="300"/>
      <c r="K25" s="300">
        <f>SUM(K6:K23)</f>
        <v>337.5</v>
      </c>
      <c r="L25" s="311">
        <f>E25+H25+K25</f>
        <v>13420.833333333334</v>
      </c>
      <c r="M25" s="300"/>
      <c r="N25" s="300"/>
      <c r="O25" s="300"/>
      <c r="P25" s="300"/>
      <c r="Q25" s="300"/>
      <c r="R25" s="311"/>
      <c r="S25" s="300"/>
      <c r="T25" s="300"/>
      <c r="U25" s="300"/>
      <c r="V25" s="311"/>
    </row>
    <row r="26" spans="1:22">
      <c r="A26" s="6">
        <v>26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2" ht="15">
      <c r="A27" s="6">
        <v>27</v>
      </c>
      <c r="B27" s="186" t="s">
        <v>438</v>
      </c>
      <c r="C27" s="485">
        <f>C24+F24+I24</f>
        <v>51950</v>
      </c>
      <c r="D27" s="485"/>
      <c r="E27" s="485"/>
      <c r="F27" s="485"/>
      <c r="G27" s="485"/>
      <c r="H27" s="485"/>
      <c r="I27" s="485"/>
      <c r="J27" s="485"/>
      <c r="K27" s="485"/>
      <c r="L27" s="322"/>
      <c r="M27" s="485"/>
      <c r="N27" s="485"/>
      <c r="O27" s="485"/>
      <c r="P27" s="485"/>
      <c r="Q27" s="485"/>
      <c r="R27" s="485"/>
      <c r="S27" s="485"/>
      <c r="T27" s="485"/>
      <c r="U27" s="485"/>
      <c r="V27" s="322"/>
    </row>
    <row r="28" spans="1:22" ht="15">
      <c r="A28" s="6">
        <v>28</v>
      </c>
      <c r="B28" s="186" t="s">
        <v>439</v>
      </c>
      <c r="C28" s="485">
        <f>E25+H25+K25</f>
        <v>13420.833333333334</v>
      </c>
      <c r="D28" s="485"/>
      <c r="E28" s="485"/>
      <c r="F28" s="485"/>
      <c r="G28" s="485"/>
      <c r="H28" s="485"/>
      <c r="I28" s="485"/>
      <c r="J28" s="485"/>
      <c r="K28" s="485"/>
      <c r="L28" s="322"/>
      <c r="M28" s="485"/>
      <c r="N28" s="485"/>
      <c r="O28" s="485"/>
      <c r="P28" s="485"/>
      <c r="Q28" s="485"/>
      <c r="R28" s="485"/>
      <c r="S28" s="485"/>
      <c r="T28" s="485"/>
      <c r="U28" s="485"/>
      <c r="V28" s="322"/>
    </row>
    <row r="29" spans="1:22">
      <c r="A29" s="6">
        <v>29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</row>
    <row r="30" spans="1:22">
      <c r="A30" s="6">
        <v>30</v>
      </c>
      <c r="B30" s="220" t="s">
        <v>53</v>
      </c>
      <c r="C30" s="301" t="s">
        <v>232</v>
      </c>
      <c r="D30" s="301" t="s">
        <v>172</v>
      </c>
      <c r="E30" s="301" t="s">
        <v>233</v>
      </c>
      <c r="F30" s="162"/>
      <c r="G30" s="162"/>
      <c r="H30" s="162"/>
      <c r="I30" s="162"/>
      <c r="J30" s="162"/>
      <c r="K30" s="162"/>
      <c r="L30" s="162"/>
      <c r="M30" s="301"/>
      <c r="N30" s="301"/>
      <c r="O30" s="301"/>
      <c r="P30" s="162"/>
      <c r="Q30" s="162"/>
      <c r="R30" s="162"/>
      <c r="S30" s="162"/>
      <c r="T30" s="162"/>
      <c r="U30" s="162"/>
      <c r="V30" s="162"/>
    </row>
    <row r="31" spans="1:22">
      <c r="A31" s="6">
        <v>31</v>
      </c>
      <c r="B31" s="186" t="s">
        <v>222</v>
      </c>
      <c r="C31" s="321">
        <v>6000</v>
      </c>
      <c r="D31" s="321">
        <v>12</v>
      </c>
      <c r="E31" s="300">
        <f>C31/3</f>
        <v>2000</v>
      </c>
      <c r="F31" s="162"/>
      <c r="G31" s="162"/>
      <c r="H31" s="162"/>
      <c r="I31" s="162"/>
      <c r="J31" s="162"/>
      <c r="K31" s="162"/>
      <c r="L31" s="162"/>
      <c r="M31" s="162"/>
      <c r="N31" s="323"/>
      <c r="O31" s="186"/>
      <c r="P31" s="162"/>
      <c r="Q31" s="162"/>
      <c r="R31" s="162"/>
      <c r="S31" s="162"/>
      <c r="T31" s="162"/>
      <c r="U31" s="162"/>
      <c r="V31" s="162"/>
    </row>
    <row r="32" spans="1:22">
      <c r="A32" s="6">
        <v>32</v>
      </c>
      <c r="B32" s="186" t="s">
        <v>223</v>
      </c>
      <c r="C32" s="321">
        <v>18000</v>
      </c>
      <c r="D32" s="321">
        <v>12</v>
      </c>
      <c r="E32" s="300">
        <f>C32/3</f>
        <v>6000</v>
      </c>
      <c r="F32" s="162"/>
      <c r="G32" s="162"/>
      <c r="H32" s="162"/>
      <c r="I32" s="162"/>
      <c r="J32" s="162"/>
      <c r="K32" s="162"/>
      <c r="L32" s="162"/>
      <c r="M32" s="162"/>
      <c r="N32" s="323"/>
      <c r="O32" s="186"/>
      <c r="P32" s="162"/>
      <c r="Q32" s="162"/>
      <c r="R32" s="162"/>
      <c r="S32" s="162"/>
      <c r="T32" s="162"/>
      <c r="U32" s="162"/>
      <c r="V32" s="162"/>
    </row>
    <row r="33" spans="1:22">
      <c r="A33" s="6">
        <v>33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5">
      <c r="A34" s="6">
        <v>34</v>
      </c>
      <c r="B34" s="186" t="s">
        <v>177</v>
      </c>
      <c r="C34" s="486">
        <f>C32+C31</f>
        <v>24000</v>
      </c>
      <c r="D34" s="486"/>
      <c r="E34" s="486"/>
      <c r="F34" s="486"/>
      <c r="G34" s="486"/>
      <c r="H34" s="486"/>
      <c r="I34" s="486"/>
      <c r="J34" s="486"/>
      <c r="K34" s="486"/>
      <c r="L34" s="324"/>
      <c r="M34" s="486"/>
      <c r="N34" s="486"/>
      <c r="O34" s="486"/>
      <c r="P34" s="486"/>
      <c r="Q34" s="486"/>
      <c r="R34" s="486"/>
      <c r="S34" s="486"/>
      <c r="T34" s="486"/>
      <c r="U34" s="486"/>
      <c r="V34" s="324"/>
    </row>
    <row r="35" spans="1:22" ht="15">
      <c r="A35" s="6">
        <v>35</v>
      </c>
      <c r="B35" s="186" t="s">
        <v>178</v>
      </c>
      <c r="C35" s="486">
        <f>E31+E32</f>
        <v>8000</v>
      </c>
      <c r="D35" s="486"/>
      <c r="E35" s="486"/>
      <c r="F35" s="486"/>
      <c r="G35" s="486"/>
      <c r="H35" s="486"/>
      <c r="I35" s="486"/>
      <c r="J35" s="486"/>
      <c r="K35" s="486"/>
      <c r="L35" s="324"/>
      <c r="M35" s="486"/>
      <c r="N35" s="486"/>
      <c r="O35" s="486"/>
      <c r="P35" s="486"/>
      <c r="Q35" s="486"/>
      <c r="R35" s="486"/>
      <c r="S35" s="486"/>
      <c r="T35" s="486"/>
      <c r="U35" s="486"/>
      <c r="V35" s="324"/>
    </row>
    <row r="37" spans="1:22">
      <c r="B37" s="6"/>
    </row>
  </sheetData>
  <mergeCells count="16">
    <mergeCell ref="M27:U27"/>
    <mergeCell ref="M28:U28"/>
    <mergeCell ref="M34:U34"/>
    <mergeCell ref="M35:U35"/>
    <mergeCell ref="C34:K34"/>
    <mergeCell ref="C35:K35"/>
    <mergeCell ref="C27:K27"/>
    <mergeCell ref="C28:K28"/>
    <mergeCell ref="C2:K2"/>
    <mergeCell ref="M3:O3"/>
    <mergeCell ref="M2:U2"/>
    <mergeCell ref="C3:E3"/>
    <mergeCell ref="F3:H3"/>
    <mergeCell ref="I3:K3"/>
    <mergeCell ref="S3:U3"/>
    <mergeCell ref="P3:R3"/>
  </mergeCells>
  <phoneticPr fontId="0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9"/>
  <sheetViews>
    <sheetView topLeftCell="A13" workbookViewId="0">
      <selection activeCell="C14" sqref="C14"/>
    </sheetView>
  </sheetViews>
  <sheetFormatPr baseColWidth="10" defaultRowHeight="12" x14ac:dyDescent="0"/>
  <cols>
    <col min="1" max="1" width="40.1640625" customWidth="1"/>
    <col min="2" max="2" width="8.6640625" bestFit="1" customWidth="1"/>
    <col min="3" max="3" width="11.5" customWidth="1"/>
    <col min="4" max="4" width="8.5" bestFit="1" customWidth="1"/>
    <col min="5" max="5" width="7.5" bestFit="1" customWidth="1"/>
    <col min="6" max="6" width="8" bestFit="1" customWidth="1"/>
    <col min="7" max="7" width="8.33203125" bestFit="1" customWidth="1"/>
    <col min="8" max="8" width="7.5" bestFit="1" customWidth="1"/>
    <col min="9" max="9" width="10.33203125" customWidth="1"/>
    <col min="10" max="10" width="10.83203125" bestFit="1" customWidth="1"/>
    <col min="11" max="11" width="8.5" bestFit="1" customWidth="1"/>
    <col min="12" max="12" width="8.33203125" bestFit="1" customWidth="1"/>
    <col min="13" max="13" width="11.33203125" customWidth="1"/>
    <col min="14" max="18" width="8.6640625" bestFit="1" customWidth="1"/>
    <col min="19" max="19" width="10.5" bestFit="1" customWidth="1"/>
    <col min="20" max="20" width="10.83203125" bestFit="1" customWidth="1"/>
    <col min="21" max="21" width="10" bestFit="1" customWidth="1"/>
  </cols>
  <sheetData>
    <row r="1" spans="1:21" ht="13" thickBot="1">
      <c r="A1" s="104"/>
      <c r="B1" s="144"/>
      <c r="C1" s="145"/>
      <c r="D1" s="494" t="s">
        <v>259</v>
      </c>
      <c r="E1" s="494"/>
      <c r="F1" s="494"/>
      <c r="G1" s="494"/>
      <c r="H1" s="494"/>
      <c r="I1" s="494"/>
      <c r="J1" s="494"/>
      <c r="K1" s="494"/>
      <c r="L1" s="495"/>
      <c r="M1" s="487" t="s">
        <v>430</v>
      </c>
      <c r="N1" s="488"/>
      <c r="O1" s="488"/>
      <c r="P1" s="488"/>
      <c r="Q1" s="488"/>
      <c r="R1" s="488"/>
      <c r="S1" s="488"/>
      <c r="T1" s="488"/>
      <c r="U1" s="489"/>
    </row>
    <row r="2" spans="1:21">
      <c r="A2" s="32"/>
      <c r="B2" s="73"/>
      <c r="C2" s="51"/>
      <c r="D2" s="491" t="s">
        <v>189</v>
      </c>
      <c r="E2" s="491"/>
      <c r="F2" s="492"/>
      <c r="G2" s="491" t="s">
        <v>187</v>
      </c>
      <c r="H2" s="491"/>
      <c r="I2" s="491"/>
      <c r="J2" s="493"/>
      <c r="K2" s="183"/>
      <c r="L2" s="421"/>
      <c r="M2" s="124"/>
      <c r="N2" s="490" t="s">
        <v>189</v>
      </c>
      <c r="O2" s="491"/>
      <c r="P2" s="492"/>
      <c r="Q2" s="490" t="s">
        <v>187</v>
      </c>
      <c r="R2" s="491"/>
      <c r="S2" s="491"/>
      <c r="T2" s="492"/>
      <c r="U2" s="389"/>
    </row>
    <row r="3" spans="1:21" ht="20">
      <c r="A3" s="146" t="s">
        <v>170</v>
      </c>
      <c r="B3" s="89" t="s">
        <v>152</v>
      </c>
      <c r="C3" s="90" t="s">
        <v>199</v>
      </c>
      <c r="D3" s="89" t="s">
        <v>188</v>
      </c>
      <c r="E3" s="89" t="s">
        <v>182</v>
      </c>
      <c r="F3" s="404" t="s">
        <v>183</v>
      </c>
      <c r="G3" s="89" t="s">
        <v>184</v>
      </c>
      <c r="H3" s="89" t="s">
        <v>185</v>
      </c>
      <c r="I3" s="89" t="s">
        <v>429</v>
      </c>
      <c r="J3" s="404" t="s">
        <v>135</v>
      </c>
      <c r="K3" s="90" t="s">
        <v>269</v>
      </c>
      <c r="L3" s="404" t="s">
        <v>260</v>
      </c>
      <c r="M3" s="89" t="s">
        <v>152</v>
      </c>
      <c r="N3" s="88" t="s">
        <v>188</v>
      </c>
      <c r="O3" s="89" t="s">
        <v>182</v>
      </c>
      <c r="P3" s="90" t="s">
        <v>183</v>
      </c>
      <c r="Q3" s="88" t="s">
        <v>184</v>
      </c>
      <c r="R3" s="89" t="s">
        <v>185</v>
      </c>
      <c r="S3" s="89" t="s">
        <v>429</v>
      </c>
      <c r="T3" s="90" t="s">
        <v>135</v>
      </c>
      <c r="U3" s="390" t="s">
        <v>260</v>
      </c>
    </row>
    <row r="4" spans="1:21">
      <c r="A4" s="52" t="s">
        <v>197</v>
      </c>
      <c r="B4" s="73"/>
      <c r="C4" s="51"/>
      <c r="D4" s="73"/>
      <c r="E4" s="73"/>
      <c r="F4" s="405"/>
      <c r="G4" s="73"/>
      <c r="H4" s="73"/>
      <c r="I4" s="73"/>
      <c r="J4" s="405"/>
      <c r="K4" s="413"/>
      <c r="L4" s="405"/>
      <c r="M4" s="33"/>
      <c r="N4" s="32"/>
      <c r="O4" s="33"/>
      <c r="P4" s="34"/>
      <c r="Q4" s="32"/>
      <c r="R4" s="33"/>
      <c r="S4" s="33"/>
      <c r="T4" s="34"/>
      <c r="U4" s="391"/>
    </row>
    <row r="5" spans="1:21">
      <c r="A5" s="52" t="s">
        <v>30</v>
      </c>
      <c r="B5" s="72">
        <f>'Personnel,salaires'!P15</f>
        <v>246700</v>
      </c>
      <c r="C5" s="51"/>
      <c r="D5" s="64">
        <f>'Personnel,salaires'!P5+'Personnel,salaires'!P8</f>
        <v>50400</v>
      </c>
      <c r="E5" s="64">
        <f>'Personnel,salaires'!P5</f>
        <v>36000</v>
      </c>
      <c r="F5" s="406">
        <f>'Personnel,salaires'!P6</f>
        <v>36000</v>
      </c>
      <c r="G5" s="64">
        <f>'Personnel,salaires'!P10</f>
        <v>36000</v>
      </c>
      <c r="H5" s="64">
        <f>'Personnel,salaires'!P11</f>
        <v>22500</v>
      </c>
      <c r="I5" s="64">
        <f>'Personnel,salaires'!P12</f>
        <v>44800</v>
      </c>
      <c r="J5" s="406">
        <f>'Personnel,salaires'!P13</f>
        <v>21000</v>
      </c>
      <c r="K5" s="414"/>
      <c r="L5" s="406">
        <f>SUM(D5:J5)</f>
        <v>246700</v>
      </c>
      <c r="M5" s="106"/>
      <c r="N5" s="105"/>
      <c r="O5" s="106"/>
      <c r="P5" s="76"/>
      <c r="Q5" s="105"/>
      <c r="R5" s="106"/>
      <c r="S5" s="106"/>
      <c r="T5" s="76"/>
      <c r="U5" s="392"/>
    </row>
    <row r="6" spans="1:21">
      <c r="A6" s="52" t="s">
        <v>31</v>
      </c>
      <c r="B6" s="72">
        <f>B5*0.5</f>
        <v>123350</v>
      </c>
      <c r="C6" s="51"/>
      <c r="D6" s="64">
        <f>D5*0.5</f>
        <v>25200</v>
      </c>
      <c r="E6" s="64">
        <f t="shared" ref="E6:J6" si="0">E5*0.5</f>
        <v>18000</v>
      </c>
      <c r="F6" s="406">
        <f t="shared" si="0"/>
        <v>18000</v>
      </c>
      <c r="G6" s="64">
        <f t="shared" si="0"/>
        <v>18000</v>
      </c>
      <c r="H6" s="64">
        <f t="shared" si="0"/>
        <v>11250</v>
      </c>
      <c r="I6" s="64">
        <f t="shared" si="0"/>
        <v>22400</v>
      </c>
      <c r="J6" s="406">
        <f t="shared" si="0"/>
        <v>10500</v>
      </c>
      <c r="K6" s="414"/>
      <c r="L6" s="406">
        <f>SUM(D6:J6)</f>
        <v>123350</v>
      </c>
      <c r="M6" s="106"/>
      <c r="N6" s="105"/>
      <c r="O6" s="106"/>
      <c r="P6" s="76"/>
      <c r="Q6" s="105"/>
      <c r="R6" s="106"/>
      <c r="S6" s="106"/>
      <c r="T6" s="76"/>
      <c r="U6" s="392"/>
    </row>
    <row r="7" spans="1:21">
      <c r="A7" s="52" t="s">
        <v>190</v>
      </c>
      <c r="B7" s="72">
        <f>B5+B6</f>
        <v>370050</v>
      </c>
      <c r="C7" s="51"/>
      <c r="D7" s="64">
        <f>SUM(D5:D6)</f>
        <v>75600</v>
      </c>
      <c r="E7" s="64">
        <f t="shared" ref="E7:J7" si="1">SUM(E5:E6)</f>
        <v>54000</v>
      </c>
      <c r="F7" s="406">
        <f t="shared" si="1"/>
        <v>54000</v>
      </c>
      <c r="G7" s="64">
        <f t="shared" si="1"/>
        <v>54000</v>
      </c>
      <c r="H7" s="64">
        <f t="shared" si="1"/>
        <v>33750</v>
      </c>
      <c r="I7" s="64">
        <f t="shared" si="1"/>
        <v>67200</v>
      </c>
      <c r="J7" s="406">
        <f t="shared" si="1"/>
        <v>31500</v>
      </c>
      <c r="K7" s="414"/>
      <c r="L7" s="406">
        <f>SUM(L5:L6)</f>
        <v>370050</v>
      </c>
      <c r="M7" s="106"/>
      <c r="N7" s="105"/>
      <c r="O7" s="106"/>
      <c r="P7" s="76"/>
      <c r="Q7" s="105"/>
      <c r="R7" s="106"/>
      <c r="S7" s="106"/>
      <c r="T7" s="76"/>
      <c r="U7" s="392"/>
    </row>
    <row r="8" spans="1:21" ht="25.5" customHeight="1">
      <c r="A8" s="147" t="s">
        <v>442</v>
      </c>
      <c r="B8" s="448">
        <f>20%*B5</f>
        <v>49340</v>
      </c>
      <c r="C8" s="148" t="s">
        <v>191</v>
      </c>
      <c r="D8" s="64">
        <f>D7*$B$8/$B$7</f>
        <v>10080</v>
      </c>
      <c r="E8" s="64">
        <f t="shared" ref="E8:J8" si="2">E7*$B$8/$B$7</f>
        <v>7200</v>
      </c>
      <c r="F8" s="406">
        <f t="shared" si="2"/>
        <v>7200</v>
      </c>
      <c r="G8" s="64">
        <f t="shared" si="2"/>
        <v>7200</v>
      </c>
      <c r="H8" s="64">
        <f t="shared" si="2"/>
        <v>4500</v>
      </c>
      <c r="I8" s="64">
        <f t="shared" si="2"/>
        <v>8960</v>
      </c>
      <c r="J8" s="406">
        <f t="shared" si="2"/>
        <v>4200</v>
      </c>
      <c r="K8" s="414"/>
      <c r="L8" s="406">
        <f>SUM(D8:J8)</f>
        <v>49340</v>
      </c>
      <c r="M8" s="106"/>
      <c r="N8" s="105"/>
      <c r="O8" s="106"/>
      <c r="P8" s="76"/>
      <c r="Q8" s="105"/>
      <c r="R8" s="106"/>
      <c r="S8" s="106"/>
      <c r="T8" s="76"/>
      <c r="U8" s="392"/>
    </row>
    <row r="9" spans="1:21" ht="20">
      <c r="A9" s="52" t="s">
        <v>186</v>
      </c>
      <c r="B9" s="448">
        <f>8%*B5</f>
        <v>19736</v>
      </c>
      <c r="C9" s="148" t="s">
        <v>191</v>
      </c>
      <c r="D9" s="64">
        <f>D7*$B$9/$B$7</f>
        <v>4032</v>
      </c>
      <c r="E9" s="64">
        <f t="shared" ref="E9:J9" si="3">E7*$B$9/$B$7</f>
        <v>2880</v>
      </c>
      <c r="F9" s="406">
        <f t="shared" si="3"/>
        <v>2880</v>
      </c>
      <c r="G9" s="64">
        <f t="shared" si="3"/>
        <v>2880</v>
      </c>
      <c r="H9" s="64">
        <f t="shared" si="3"/>
        <v>1800</v>
      </c>
      <c r="I9" s="64">
        <f t="shared" si="3"/>
        <v>3584</v>
      </c>
      <c r="J9" s="406">
        <f t="shared" si="3"/>
        <v>1680</v>
      </c>
      <c r="K9" s="414"/>
      <c r="L9" s="406">
        <f>SUM(D9:J9)</f>
        <v>19736</v>
      </c>
      <c r="M9" s="106"/>
      <c r="N9" s="105"/>
      <c r="O9" s="106"/>
      <c r="P9" s="76"/>
      <c r="Q9" s="105"/>
      <c r="R9" s="106"/>
      <c r="S9" s="106"/>
      <c r="T9" s="76"/>
      <c r="U9" s="392"/>
    </row>
    <row r="10" spans="1:21">
      <c r="A10" s="52" t="s">
        <v>262</v>
      </c>
      <c r="B10" s="72">
        <f>Immo!C28+Immo!C35</f>
        <v>21420.833333333336</v>
      </c>
      <c r="C10" s="51"/>
      <c r="D10" s="64">
        <f>Immo!L6+Immo!L9+Immo!L22+Immo!L23+Immo!C35</f>
        <v>12463.333333333334</v>
      </c>
      <c r="E10" s="64">
        <f>Immo!L7</f>
        <v>873.33333333333337</v>
      </c>
      <c r="F10" s="406">
        <f>Immo!L8</f>
        <v>1706.6666666666667</v>
      </c>
      <c r="G10" s="64">
        <f>Immo!L11</f>
        <v>863.33333333333337</v>
      </c>
      <c r="H10" s="64">
        <f>Immo!L13</f>
        <v>1272.5</v>
      </c>
      <c r="I10" s="64">
        <f>Immo!L15+Immo!L16</f>
        <v>2262.2222222222222</v>
      </c>
      <c r="J10" s="406">
        <f>Immo!L18+Immo!L19</f>
        <v>1979.4444444444443</v>
      </c>
      <c r="K10" s="414"/>
      <c r="L10" s="406">
        <f>SUM(D10:J10)</f>
        <v>21420.833333333336</v>
      </c>
      <c r="M10" s="106"/>
      <c r="N10" s="105"/>
      <c r="O10" s="106"/>
      <c r="P10" s="76"/>
      <c r="Q10" s="105"/>
      <c r="R10" s="106"/>
      <c r="S10" s="106"/>
      <c r="T10" s="76"/>
      <c r="U10" s="392"/>
    </row>
    <row r="11" spans="1:21">
      <c r="A11" s="50" t="s">
        <v>198</v>
      </c>
      <c r="B11" s="65">
        <f>SUM(B7:B10)</f>
        <v>460546.83333333331</v>
      </c>
      <c r="C11" s="51"/>
      <c r="D11" s="64">
        <f>SUM(D7:D10)</f>
        <v>102175.33333333333</v>
      </c>
      <c r="E11" s="64">
        <f t="shared" ref="E11:J11" si="4">SUM(E7:E10)</f>
        <v>64953.333333333336</v>
      </c>
      <c r="F11" s="406">
        <f t="shared" si="4"/>
        <v>65786.666666666672</v>
      </c>
      <c r="G11" s="64">
        <f t="shared" si="4"/>
        <v>64943.333333333336</v>
      </c>
      <c r="H11" s="64">
        <f t="shared" si="4"/>
        <v>41322.5</v>
      </c>
      <c r="I11" s="64">
        <f t="shared" si="4"/>
        <v>82006.222222222219</v>
      </c>
      <c r="J11" s="406">
        <f t="shared" si="4"/>
        <v>39359.444444444445</v>
      </c>
      <c r="K11" s="414"/>
      <c r="L11" s="406">
        <f>SUM(D11:J11)</f>
        <v>460546.83333333331</v>
      </c>
      <c r="M11" s="420"/>
      <c r="N11" s="386"/>
      <c r="O11" s="387"/>
      <c r="P11" s="388"/>
      <c r="Q11" s="386"/>
      <c r="R11" s="387"/>
      <c r="S11" s="387"/>
      <c r="T11" s="388"/>
      <c r="U11" s="393"/>
    </row>
    <row r="12" spans="1:21">
      <c r="A12" s="52" t="s">
        <v>196</v>
      </c>
      <c r="B12" s="185">
        <f>SUM(D12:K12)</f>
        <v>10</v>
      </c>
      <c r="C12" s="51"/>
      <c r="D12" s="102">
        <v>2</v>
      </c>
      <c r="E12" s="102">
        <v>1</v>
      </c>
      <c r="F12" s="407">
        <v>1</v>
      </c>
      <c r="G12" s="102">
        <v>1</v>
      </c>
      <c r="H12" s="102">
        <v>1</v>
      </c>
      <c r="I12" s="102">
        <v>2</v>
      </c>
      <c r="J12" s="407">
        <v>2</v>
      </c>
      <c r="K12" s="415"/>
      <c r="L12" s="406"/>
      <c r="M12" s="109"/>
      <c r="N12" s="115"/>
      <c r="O12" s="84"/>
      <c r="P12" s="57"/>
      <c r="Q12" s="115"/>
      <c r="R12" s="84"/>
      <c r="S12" s="84"/>
      <c r="T12" s="57"/>
      <c r="U12" s="394"/>
    </row>
    <row r="13" spans="1:21">
      <c r="A13" s="52" t="s">
        <v>443</v>
      </c>
      <c r="B13" s="73"/>
      <c r="C13" s="51"/>
      <c r="D13" s="102">
        <v>24</v>
      </c>
      <c r="E13" s="102">
        <v>12</v>
      </c>
      <c r="F13" s="407">
        <v>12</v>
      </c>
      <c r="G13" s="102">
        <v>12</v>
      </c>
      <c r="H13" s="102">
        <v>12</v>
      </c>
      <c r="I13" s="102">
        <v>16</v>
      </c>
      <c r="J13" s="407">
        <v>14</v>
      </c>
      <c r="K13" s="415"/>
      <c r="L13" s="408">
        <f>SUM(D13:K13)</f>
        <v>102</v>
      </c>
      <c r="M13" s="71"/>
      <c r="N13" s="115"/>
      <c r="O13" s="84"/>
      <c r="P13" s="57"/>
      <c r="Q13" s="115"/>
      <c r="R13" s="84"/>
      <c r="S13" s="84"/>
      <c r="T13" s="57"/>
      <c r="U13" s="394"/>
    </row>
    <row r="14" spans="1:21">
      <c r="A14" s="149" t="s">
        <v>485</v>
      </c>
      <c r="B14" s="40">
        <f>(47*5*8-10*8)</f>
        <v>1800</v>
      </c>
      <c r="C14" s="51"/>
      <c r="D14" s="102"/>
      <c r="E14" s="102"/>
      <c r="F14" s="407"/>
      <c r="G14" s="102"/>
      <c r="H14" s="102"/>
      <c r="I14" s="102"/>
      <c r="J14" s="407"/>
      <c r="K14" s="415"/>
      <c r="L14" s="408"/>
      <c r="M14" s="71"/>
      <c r="N14" s="115"/>
      <c r="O14" s="84"/>
      <c r="P14" s="57"/>
      <c r="Q14" s="115"/>
      <c r="R14" s="84"/>
      <c r="S14" s="84"/>
      <c r="T14" s="57"/>
      <c r="U14" s="394"/>
    </row>
    <row r="15" spans="1:21">
      <c r="A15" s="149" t="s">
        <v>484</v>
      </c>
      <c r="B15" s="157">
        <v>10</v>
      </c>
      <c r="C15" s="51"/>
      <c r="D15" s="102"/>
      <c r="E15" s="102"/>
      <c r="F15" s="407"/>
      <c r="G15" s="102"/>
      <c r="H15" s="102"/>
      <c r="I15" s="102"/>
      <c r="J15" s="407"/>
      <c r="K15" s="415"/>
      <c r="L15" s="408"/>
      <c r="M15" s="71"/>
      <c r="N15" s="115"/>
      <c r="O15" s="84"/>
      <c r="P15" s="57"/>
      <c r="Q15" s="115"/>
      <c r="R15" s="84"/>
      <c r="S15" s="84"/>
      <c r="T15" s="57"/>
      <c r="U15" s="394"/>
    </row>
    <row r="16" spans="1:21">
      <c r="A16" s="149" t="s">
        <v>486</v>
      </c>
      <c r="B16" s="156">
        <f>(B14-B15*8)/12</f>
        <v>143.33333333333334</v>
      </c>
      <c r="C16" s="51"/>
      <c r="D16" s="103">
        <f t="shared" ref="D16:J16" si="5">D13*$B$16</f>
        <v>3440</v>
      </c>
      <c r="E16" s="103">
        <f t="shared" si="5"/>
        <v>1720</v>
      </c>
      <c r="F16" s="408">
        <f t="shared" si="5"/>
        <v>1720</v>
      </c>
      <c r="G16" s="103">
        <f t="shared" si="5"/>
        <v>1720</v>
      </c>
      <c r="H16" s="103">
        <f t="shared" si="5"/>
        <v>1720</v>
      </c>
      <c r="I16" s="103">
        <f t="shared" si="5"/>
        <v>2293.3333333333335</v>
      </c>
      <c r="J16" s="408">
        <f t="shared" si="5"/>
        <v>2006.6666666666667</v>
      </c>
      <c r="K16" s="416"/>
      <c r="L16" s="422">
        <f>SUM(D16:J16)</f>
        <v>14620</v>
      </c>
      <c r="M16" s="109"/>
      <c r="N16" s="107"/>
      <c r="O16" s="109"/>
      <c r="P16" s="60"/>
      <c r="Q16" s="107"/>
      <c r="R16" s="109"/>
      <c r="S16" s="109"/>
      <c r="T16" s="60"/>
      <c r="U16" s="394"/>
    </row>
    <row r="17" spans="1:21" ht="14.25" customHeight="1" thickBot="1">
      <c r="A17" s="50" t="s">
        <v>261</v>
      </c>
      <c r="B17" s="73"/>
      <c r="C17" s="51"/>
      <c r="D17" s="64"/>
      <c r="E17" s="64"/>
      <c r="F17" s="406"/>
      <c r="G17" s="64"/>
      <c r="H17" s="64"/>
      <c r="I17" s="64"/>
      <c r="J17" s="406"/>
      <c r="K17" s="414"/>
      <c r="L17" s="406"/>
      <c r="M17" s="71"/>
      <c r="N17" s="116"/>
      <c r="O17" s="61"/>
      <c r="P17" s="108"/>
      <c r="Q17" s="116"/>
      <c r="R17" s="61"/>
      <c r="S17" s="61"/>
      <c r="T17" s="108"/>
      <c r="U17" s="394"/>
    </row>
    <row r="18" spans="1:21">
      <c r="A18" s="52" t="s">
        <v>181</v>
      </c>
      <c r="B18" s="73"/>
      <c r="C18" s="73"/>
      <c r="D18" s="398">
        <f>D11</f>
        <v>102175.33333333333</v>
      </c>
      <c r="E18" s="399">
        <f>(E16/(SUM($E$16:$K$16))*$D$18)</f>
        <v>15719.282051282051</v>
      </c>
      <c r="F18" s="409">
        <f t="shared" ref="F18:J18" si="6">(F16/(SUM($E$16:$K$16))*$D$18)</f>
        <v>15719.282051282051</v>
      </c>
      <c r="G18" s="399">
        <f t="shared" si="6"/>
        <v>15719.282051282051</v>
      </c>
      <c r="H18" s="399">
        <f t="shared" si="6"/>
        <v>15719.282051282051</v>
      </c>
      <c r="I18" s="399">
        <f t="shared" si="6"/>
        <v>20959.042735042734</v>
      </c>
      <c r="J18" s="409">
        <f t="shared" si="6"/>
        <v>18339.162393162391</v>
      </c>
      <c r="K18" s="417"/>
      <c r="L18" s="409">
        <f>SUM(E18:K18)</f>
        <v>102175.33333333333</v>
      </c>
      <c r="M18" s="400"/>
      <c r="N18" s="110"/>
      <c r="O18" s="64"/>
      <c r="P18" s="91"/>
      <c r="Q18" s="82"/>
      <c r="R18" s="64"/>
      <c r="S18" s="64"/>
      <c r="T18" s="91"/>
      <c r="U18" s="394"/>
    </row>
    <row r="19" spans="1:21">
      <c r="A19" s="52" t="s">
        <v>182</v>
      </c>
      <c r="B19" s="73"/>
      <c r="C19" s="73" t="s">
        <v>195</v>
      </c>
      <c r="D19" s="82"/>
      <c r="E19" s="59">
        <f>E11+E18</f>
        <v>80672.61538461539</v>
      </c>
      <c r="F19" s="406">
        <f t="shared" ref="F19:J19" si="7">(F16/(SUM($F$16:$K$16))*$E$19)</f>
        <v>14667.748251748253</v>
      </c>
      <c r="G19" s="64">
        <f t="shared" si="7"/>
        <v>14667.748251748253</v>
      </c>
      <c r="H19" s="64">
        <f t="shared" si="7"/>
        <v>14667.748251748253</v>
      </c>
      <c r="I19" s="64">
        <f t="shared" si="7"/>
        <v>19556.997668997672</v>
      </c>
      <c r="J19" s="406">
        <f t="shared" si="7"/>
        <v>17112.372960372963</v>
      </c>
      <c r="K19" s="414"/>
      <c r="L19" s="406"/>
      <c r="M19" s="76"/>
      <c r="N19" s="61"/>
      <c r="O19" s="110"/>
      <c r="P19" s="91"/>
      <c r="Q19" s="82"/>
      <c r="R19" s="64"/>
      <c r="S19" s="64"/>
      <c r="T19" s="91"/>
      <c r="U19" s="394"/>
    </row>
    <row r="20" spans="1:21" ht="13" thickBot="1">
      <c r="A20" s="52" t="s">
        <v>192</v>
      </c>
      <c r="B20" s="73"/>
      <c r="C20" s="73" t="s">
        <v>195</v>
      </c>
      <c r="D20" s="401"/>
      <c r="E20" s="402"/>
      <c r="F20" s="410">
        <f>F11+F18+F19</f>
        <v>96173.696969696975</v>
      </c>
      <c r="G20" s="402">
        <f>(G16/(SUM($G$16:$K$16))*$F$20)</f>
        <v>21371.93265993266</v>
      </c>
      <c r="H20" s="402">
        <f>(H16/(SUM($G$16:$K$16))*$F$20)</f>
        <v>21371.93265993266</v>
      </c>
      <c r="I20" s="402">
        <f>(I16/(SUM($G$16:$K$16))*$F$20)</f>
        <v>28495.910213243547</v>
      </c>
      <c r="J20" s="411">
        <f>(J16/(SUM($G$16:$K$16))*$F$20)</f>
        <v>24933.921436588102</v>
      </c>
      <c r="K20" s="418"/>
      <c r="L20" s="411"/>
      <c r="M20" s="403"/>
      <c r="N20" s="61"/>
      <c r="O20" s="61"/>
      <c r="P20" s="111"/>
      <c r="Q20" s="82"/>
      <c r="R20" s="64"/>
      <c r="S20" s="64"/>
      <c r="T20" s="91"/>
      <c r="U20" s="394"/>
    </row>
    <row r="21" spans="1:21">
      <c r="A21" s="52"/>
      <c r="B21" s="73"/>
      <c r="C21" s="51"/>
      <c r="D21" s="64"/>
      <c r="E21" s="64"/>
      <c r="F21" s="406"/>
      <c r="G21" s="64"/>
      <c r="H21" s="64"/>
      <c r="I21" s="64"/>
      <c r="J21" s="406"/>
      <c r="K21" s="414"/>
      <c r="L21" s="406"/>
      <c r="M21" s="71"/>
      <c r="N21" s="116"/>
      <c r="O21" s="61"/>
      <c r="P21" s="108"/>
      <c r="Q21" s="116"/>
      <c r="R21" s="61"/>
      <c r="S21" s="61"/>
      <c r="T21" s="108"/>
      <c r="U21" s="394"/>
    </row>
    <row r="22" spans="1:21">
      <c r="A22" s="52" t="s">
        <v>193</v>
      </c>
      <c r="B22" s="73"/>
      <c r="C22" s="51"/>
      <c r="D22" s="64"/>
      <c r="E22" s="64"/>
      <c r="F22" s="406"/>
      <c r="G22" s="64">
        <f>SUM(G18:G21)+G11</f>
        <v>116702.29629629629</v>
      </c>
      <c r="H22" s="64">
        <f>SUM(H18:H21)+H11</f>
        <v>93081.462962962964</v>
      </c>
      <c r="I22" s="64">
        <f>SUM(I18:I21)+I11</f>
        <v>151018.17283950618</v>
      </c>
      <c r="J22" s="406">
        <f>SUM(J18:J21)+J11</f>
        <v>99744.901234567893</v>
      </c>
      <c r="K22" s="414"/>
      <c r="L22" s="35">
        <f>SUM(G22:K22)</f>
        <v>460546.83333333337</v>
      </c>
      <c r="M22" s="71"/>
      <c r="N22" s="98"/>
      <c r="O22" s="71"/>
      <c r="P22" s="99"/>
      <c r="Q22" s="82"/>
      <c r="R22" s="64"/>
      <c r="S22" s="64"/>
      <c r="T22" s="91"/>
      <c r="U22" s="395"/>
    </row>
    <row r="23" spans="1:21">
      <c r="A23" s="52"/>
      <c r="B23" s="73"/>
      <c r="C23" s="51"/>
      <c r="D23" s="64"/>
      <c r="E23" s="64"/>
      <c r="F23" s="406"/>
      <c r="G23" s="64"/>
      <c r="H23" s="64"/>
      <c r="I23" s="64"/>
      <c r="J23" s="406"/>
      <c r="K23" s="414"/>
      <c r="L23" s="406"/>
      <c r="M23" s="71"/>
      <c r="N23" s="98"/>
      <c r="O23" s="71"/>
      <c r="P23" s="99"/>
      <c r="Q23" s="98"/>
      <c r="R23" s="71"/>
      <c r="S23" s="71"/>
      <c r="T23" s="99"/>
      <c r="U23" s="396"/>
    </row>
    <row r="24" spans="1:21" s="1" customFormat="1" ht="13" thickBot="1">
      <c r="A24" s="56" t="s">
        <v>194</v>
      </c>
      <c r="B24" s="141"/>
      <c r="C24" s="150"/>
      <c r="D24" s="93"/>
      <c r="E24" s="93"/>
      <c r="F24" s="410"/>
      <c r="G24" s="95">
        <f>G22/G16</f>
        <v>67.850172265288535</v>
      </c>
      <c r="H24" s="95">
        <f>H22/H16</f>
        <v>54.11712962962963</v>
      </c>
      <c r="I24" s="95">
        <f>I22/I16</f>
        <v>65.850947459086996</v>
      </c>
      <c r="J24" s="412">
        <f>J22/J16</f>
        <v>49.706761412575361</v>
      </c>
      <c r="K24" s="419"/>
      <c r="L24" s="410"/>
      <c r="M24" s="113"/>
      <c r="N24" s="112"/>
      <c r="O24" s="113"/>
      <c r="P24" s="100"/>
      <c r="Q24" s="117"/>
      <c r="R24" s="114"/>
      <c r="S24" s="114"/>
      <c r="T24" s="118"/>
      <c r="U24" s="397"/>
    </row>
    <row r="29" spans="1:21">
      <c r="L29" s="22"/>
    </row>
  </sheetData>
  <mergeCells count="6">
    <mergeCell ref="M1:U1"/>
    <mergeCell ref="Q2:T2"/>
    <mergeCell ref="D2:F2"/>
    <mergeCell ref="G2:J2"/>
    <mergeCell ref="N2:P2"/>
    <mergeCell ref="D1:L1"/>
  </mergeCells>
  <phoneticPr fontId="0" type="noConversion"/>
  <printOptions headings="1" gridLines="1"/>
  <pageMargins left="0.19" right="0.34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workbookViewId="0">
      <selection activeCell="B4" sqref="B4"/>
    </sheetView>
  </sheetViews>
  <sheetFormatPr baseColWidth="10" defaultRowHeight="12" x14ac:dyDescent="0"/>
  <cols>
    <col min="1" max="1" width="24.1640625" customWidth="1"/>
    <col min="2" max="2" width="6.6640625" customWidth="1"/>
    <col min="3" max="3" width="6" bestFit="1" customWidth="1"/>
    <col min="4" max="4" width="8.33203125" bestFit="1" customWidth="1"/>
    <col min="5" max="5" width="5.6640625" bestFit="1" customWidth="1"/>
    <col min="6" max="6" width="6" bestFit="1" customWidth="1"/>
    <col min="7" max="7" width="7.5" bestFit="1" customWidth="1"/>
    <col min="8" max="8" width="5.6640625" bestFit="1" customWidth="1"/>
    <col min="9" max="9" width="6" bestFit="1" customWidth="1"/>
    <col min="10" max="10" width="8.33203125" bestFit="1" customWidth="1"/>
  </cols>
  <sheetData>
    <row r="1" spans="1:13" ht="46.5" customHeight="1">
      <c r="A1" s="131"/>
      <c r="B1" s="496" t="s">
        <v>469</v>
      </c>
      <c r="C1" s="497"/>
      <c r="D1" s="498"/>
      <c r="E1" s="496" t="s">
        <v>471</v>
      </c>
      <c r="F1" s="497"/>
      <c r="G1" s="498"/>
      <c r="H1" s="496" t="s">
        <v>472</v>
      </c>
      <c r="I1" s="497"/>
      <c r="J1" s="498"/>
    </row>
    <row r="2" spans="1:13" ht="39" customHeight="1">
      <c r="A2" s="132" t="s">
        <v>458</v>
      </c>
      <c r="B2" s="88" t="s">
        <v>448</v>
      </c>
      <c r="C2" s="89" t="s">
        <v>272</v>
      </c>
      <c r="D2" s="119" t="s">
        <v>470</v>
      </c>
      <c r="E2" s="88" t="s">
        <v>448</v>
      </c>
      <c r="F2" s="89" t="s">
        <v>272</v>
      </c>
      <c r="G2" s="119" t="s">
        <v>271</v>
      </c>
      <c r="H2" s="88" t="s">
        <v>448</v>
      </c>
      <c r="I2" s="89" t="s">
        <v>272</v>
      </c>
      <c r="J2" s="119" t="s">
        <v>271</v>
      </c>
    </row>
    <row r="3" spans="1:13">
      <c r="A3" s="50" t="s">
        <v>264</v>
      </c>
      <c r="B3" s="52"/>
      <c r="C3" s="73"/>
      <c r="D3" s="51"/>
      <c r="E3" s="32"/>
      <c r="F3" s="33"/>
      <c r="G3" s="34"/>
      <c r="H3" s="49"/>
      <c r="I3" s="70"/>
      <c r="J3" s="97"/>
    </row>
    <row r="4" spans="1:13">
      <c r="A4" s="52" t="s">
        <v>253</v>
      </c>
      <c r="B4" s="133">
        <f>'TH '!G24</f>
        <v>67.850172265288535</v>
      </c>
      <c r="C4" s="120">
        <v>112</v>
      </c>
      <c r="D4" s="134">
        <f>C4*B4</f>
        <v>7599.2192937123164</v>
      </c>
      <c r="E4" s="81"/>
      <c r="F4" s="120"/>
      <c r="G4" s="139"/>
      <c r="H4" s="81"/>
      <c r="I4" s="83"/>
      <c r="J4" s="139"/>
    </row>
    <row r="5" spans="1:13">
      <c r="A5" s="52" t="s">
        <v>255</v>
      </c>
      <c r="B5" s="133">
        <f>'TH '!H24</f>
        <v>54.11712962962963</v>
      </c>
      <c r="C5" s="120">
        <v>120</v>
      </c>
      <c r="D5" s="134">
        <f>C5*B5</f>
        <v>6494.0555555555557</v>
      </c>
      <c r="E5" s="81"/>
      <c r="F5" s="120"/>
      <c r="G5" s="139"/>
      <c r="H5" s="81"/>
      <c r="I5" s="83"/>
      <c r="J5" s="139"/>
      <c r="M5" s="6"/>
    </row>
    <row r="6" spans="1:13">
      <c r="A6" s="52" t="s">
        <v>265</v>
      </c>
      <c r="B6" s="133">
        <f>'TH '!I24</f>
        <v>65.850947459086996</v>
      </c>
      <c r="C6" s="120">
        <v>232</v>
      </c>
      <c r="D6" s="134">
        <f>C6*B6</f>
        <v>15277.419810508183</v>
      </c>
      <c r="E6" s="81"/>
      <c r="F6" s="120"/>
      <c r="G6" s="139"/>
      <c r="H6" s="81"/>
      <c r="I6" s="83"/>
      <c r="J6" s="139"/>
    </row>
    <row r="7" spans="1:13">
      <c r="A7" s="52" t="s">
        <v>266</v>
      </c>
      <c r="B7" s="133">
        <f>'TH '!J24</f>
        <v>49.706761412575361</v>
      </c>
      <c r="C7" s="120">
        <v>112</v>
      </c>
      <c r="D7" s="134">
        <f>C7*B7</f>
        <v>5567.1572782084404</v>
      </c>
      <c r="E7" s="81"/>
      <c r="F7" s="120"/>
      <c r="G7" s="139"/>
      <c r="H7" s="81"/>
      <c r="I7" s="83"/>
      <c r="J7" s="139"/>
    </row>
    <row r="8" spans="1:13">
      <c r="A8" s="52" t="s">
        <v>269</v>
      </c>
      <c r="B8" s="133">
        <f>'TH '!K24</f>
        <v>0</v>
      </c>
      <c r="C8" s="120">
        <v>56</v>
      </c>
      <c r="D8" s="134">
        <f>C8*B8</f>
        <v>0</v>
      </c>
      <c r="E8" s="81"/>
      <c r="F8" s="120"/>
      <c r="G8" s="139"/>
      <c r="H8" s="81"/>
      <c r="I8" s="83"/>
      <c r="J8" s="139"/>
    </row>
    <row r="9" spans="1:13">
      <c r="A9" s="52" t="s">
        <v>274</v>
      </c>
      <c r="B9" s="96"/>
      <c r="C9" s="94"/>
      <c r="D9" s="111">
        <f>SUM(D4:D8)</f>
        <v>34937.851937984495</v>
      </c>
      <c r="E9" s="49"/>
      <c r="F9" s="70"/>
      <c r="G9" s="92"/>
      <c r="H9" s="49"/>
      <c r="I9" s="70"/>
      <c r="J9" s="92"/>
    </row>
    <row r="10" spans="1:13">
      <c r="A10" s="50" t="s">
        <v>267</v>
      </c>
      <c r="B10" s="96"/>
      <c r="C10" s="94"/>
      <c r="D10" s="135">
        <v>2000</v>
      </c>
      <c r="E10" s="49"/>
      <c r="F10" s="70"/>
      <c r="G10" s="135"/>
      <c r="H10" s="49"/>
      <c r="I10" s="70"/>
      <c r="J10" s="135"/>
    </row>
    <row r="11" spans="1:13">
      <c r="A11" s="52"/>
      <c r="B11" s="96"/>
      <c r="C11" s="94"/>
      <c r="D11" s="134"/>
      <c r="E11" s="49"/>
      <c r="F11" s="70"/>
      <c r="G11" s="97"/>
      <c r="H11" s="49"/>
      <c r="I11" s="70"/>
      <c r="J11" s="97"/>
    </row>
    <row r="12" spans="1:13">
      <c r="A12" s="50" t="s">
        <v>136</v>
      </c>
      <c r="B12" s="96"/>
      <c r="C12" s="94"/>
      <c r="D12" s="134"/>
      <c r="E12" s="49"/>
      <c r="F12" s="70"/>
      <c r="G12" s="97"/>
      <c r="H12" s="49"/>
      <c r="I12" s="70"/>
      <c r="J12" s="97"/>
    </row>
    <row r="13" spans="1:13">
      <c r="A13" s="52" t="s">
        <v>268</v>
      </c>
      <c r="B13" s="96">
        <f>'Tableau simu'!$B$45</f>
        <v>100</v>
      </c>
      <c r="C13" s="120">
        <v>144</v>
      </c>
      <c r="D13" s="134">
        <f>C13*B13</f>
        <v>14400</v>
      </c>
      <c r="E13" s="96"/>
      <c r="F13" s="120"/>
      <c r="G13" s="134"/>
      <c r="H13" s="96"/>
      <c r="I13" s="120"/>
      <c r="J13" s="134"/>
    </row>
    <row r="14" spans="1:13">
      <c r="A14" s="52" t="s">
        <v>269</v>
      </c>
      <c r="B14" s="184">
        <f>IF('Tableau simu'!B43&gt;0,0,100)</f>
        <v>100</v>
      </c>
      <c r="C14" s="120">
        <v>56</v>
      </c>
      <c r="D14" s="134">
        <f>C14*B14</f>
        <v>5600</v>
      </c>
      <c r="E14" s="96"/>
      <c r="F14" s="120"/>
      <c r="G14" s="134"/>
      <c r="H14" s="96"/>
      <c r="I14" s="120"/>
      <c r="J14" s="134"/>
    </row>
    <row r="15" spans="1:13">
      <c r="A15" s="52" t="s">
        <v>270</v>
      </c>
      <c r="B15" s="96">
        <f>'Tableau simu'!$B$47</f>
        <v>60</v>
      </c>
      <c r="C15" s="120">
        <v>32</v>
      </c>
      <c r="D15" s="134">
        <f>C15*B15</f>
        <v>1920</v>
      </c>
      <c r="E15" s="96"/>
      <c r="F15" s="120"/>
      <c r="G15" s="134"/>
      <c r="H15" s="96"/>
      <c r="I15" s="120"/>
      <c r="J15" s="134"/>
    </row>
    <row r="16" spans="1:13">
      <c r="A16" s="52" t="s">
        <v>349</v>
      </c>
      <c r="B16" s="96">
        <f>'Tableau simu'!$C$48</f>
        <v>700</v>
      </c>
      <c r="C16" s="94"/>
      <c r="D16" s="134"/>
      <c r="E16" s="96"/>
      <c r="F16" s="70"/>
      <c r="G16" s="97"/>
      <c r="H16" s="96"/>
      <c r="I16" s="120"/>
      <c r="J16" s="134"/>
    </row>
    <row r="17" spans="1:10">
      <c r="A17" s="52" t="s">
        <v>273</v>
      </c>
      <c r="B17" s="96"/>
      <c r="C17" s="94"/>
      <c r="D17" s="111">
        <f>SUM(D13:D15)</f>
        <v>21920</v>
      </c>
      <c r="E17" s="49"/>
      <c r="F17" s="70"/>
      <c r="G17" s="111"/>
      <c r="H17" s="49"/>
      <c r="I17" s="70"/>
      <c r="J17" s="111"/>
    </row>
    <row r="18" spans="1:10">
      <c r="A18" s="50" t="s">
        <v>459</v>
      </c>
      <c r="B18" s="136"/>
      <c r="C18" s="68">
        <f>SUM(C4:C15)</f>
        <v>864</v>
      </c>
      <c r="D18" s="111">
        <f>D9+D10+D17</f>
        <v>58857.851937984495</v>
      </c>
      <c r="E18" s="49"/>
      <c r="F18" s="68"/>
      <c r="G18" s="111"/>
      <c r="H18" s="49"/>
      <c r="I18" s="68"/>
      <c r="J18" s="111"/>
    </row>
    <row r="19" spans="1:10" ht="13" thickBot="1">
      <c r="A19" s="52"/>
      <c r="B19" s="137"/>
      <c r="C19" s="121"/>
      <c r="D19" s="122"/>
      <c r="E19" s="49"/>
      <c r="F19" s="70"/>
      <c r="G19" s="97"/>
      <c r="H19" s="32"/>
      <c r="I19" s="33"/>
      <c r="J19" s="34"/>
    </row>
    <row r="20" spans="1:10">
      <c r="A20" s="123" t="s">
        <v>450</v>
      </c>
      <c r="B20" s="104"/>
      <c r="C20" s="124"/>
      <c r="D20" s="127">
        <f>'Tableau simu'!B16</f>
        <v>100000</v>
      </c>
      <c r="E20" s="104"/>
      <c r="F20" s="124"/>
      <c r="G20" s="127"/>
      <c r="H20" s="104"/>
      <c r="I20" s="124"/>
      <c r="J20" s="127"/>
    </row>
    <row r="21" spans="1:10" ht="13" thickBot="1">
      <c r="A21" s="78" t="s">
        <v>449</v>
      </c>
      <c r="B21" s="138"/>
      <c r="C21" s="125"/>
      <c r="D21" s="128">
        <f>D20*1.196</f>
        <v>119600</v>
      </c>
      <c r="E21" s="140"/>
      <c r="F21" s="126"/>
      <c r="G21" s="128"/>
      <c r="H21" s="140"/>
      <c r="I21" s="126"/>
      <c r="J21" s="128"/>
    </row>
    <row r="23" spans="1:10">
      <c r="A23" s="52" t="s">
        <v>447</v>
      </c>
    </row>
  </sheetData>
  <mergeCells count="3">
    <mergeCell ref="E1:G1"/>
    <mergeCell ref="H1:J1"/>
    <mergeCell ref="B1:D1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22"/>
  <sheetViews>
    <sheetView topLeftCell="A8" workbookViewId="0">
      <selection activeCell="D16" sqref="D16"/>
    </sheetView>
  </sheetViews>
  <sheetFormatPr baseColWidth="10" defaultRowHeight="12" x14ac:dyDescent="0"/>
  <cols>
    <col min="1" max="1" width="3" bestFit="1" customWidth="1"/>
    <col min="2" max="2" width="52.83203125" bestFit="1" customWidth="1"/>
    <col min="3" max="6" width="7.83203125" bestFit="1" customWidth="1"/>
    <col min="7" max="7" width="8.5" bestFit="1" customWidth="1"/>
    <col min="8" max="8" width="7.83203125" bestFit="1" customWidth="1"/>
    <col min="9" max="12" width="8.6640625" bestFit="1" customWidth="1"/>
    <col min="13" max="13" width="9.33203125" bestFit="1" customWidth="1"/>
    <col min="14" max="14" width="8.6640625" style="20" bestFit="1" customWidth="1"/>
    <col min="15" max="18" width="8.6640625" bestFit="1" customWidth="1"/>
    <col min="19" max="19" width="9.1640625" bestFit="1" customWidth="1"/>
    <col min="20" max="20" width="8.6640625" bestFit="1" customWidth="1"/>
    <col min="21" max="22" width="10.1640625" bestFit="1" customWidth="1"/>
    <col min="23" max="23" width="8.6640625" bestFit="1" customWidth="1"/>
    <col min="24" max="25" width="10.1640625" bestFit="1" customWidth="1"/>
    <col min="26" max="26" width="10.1640625" style="20" bestFit="1" customWidth="1"/>
    <col min="27" max="28" width="8.6640625" bestFit="1" customWidth="1"/>
  </cols>
  <sheetData>
    <row r="1" spans="1:28">
      <c r="A1" s="6">
        <v>1</v>
      </c>
      <c r="B1" s="6" t="s">
        <v>613</v>
      </c>
      <c r="C1" s="6" t="s">
        <v>614</v>
      </c>
      <c r="D1" s="6" t="s">
        <v>331</v>
      </c>
      <c r="E1" s="6" t="s">
        <v>615</v>
      </c>
      <c r="F1" s="6" t="s">
        <v>325</v>
      </c>
      <c r="G1" s="6" t="s">
        <v>616</v>
      </c>
      <c r="H1" s="6" t="s">
        <v>617</v>
      </c>
      <c r="I1" s="6" t="s">
        <v>618</v>
      </c>
      <c r="J1" s="6" t="s">
        <v>324</v>
      </c>
      <c r="K1" s="6" t="s">
        <v>619</v>
      </c>
      <c r="L1" s="6" t="s">
        <v>620</v>
      </c>
      <c r="M1" s="6" t="s">
        <v>326</v>
      </c>
      <c r="N1" s="423" t="s">
        <v>330</v>
      </c>
      <c r="O1" s="424" t="s">
        <v>329</v>
      </c>
      <c r="P1" s="424" t="s">
        <v>621</v>
      </c>
      <c r="Q1" s="424" t="s">
        <v>622</v>
      </c>
      <c r="R1" s="424" t="s">
        <v>623</v>
      </c>
      <c r="S1" s="424" t="s">
        <v>328</v>
      </c>
      <c r="T1" s="424" t="s">
        <v>624</v>
      </c>
      <c r="U1" s="424" t="s">
        <v>625</v>
      </c>
      <c r="V1" s="424" t="s">
        <v>626</v>
      </c>
      <c r="W1" s="424" t="s">
        <v>627</v>
      </c>
      <c r="X1" s="424" t="s">
        <v>628</v>
      </c>
      <c r="Y1" s="424" t="s">
        <v>629</v>
      </c>
      <c r="Z1" s="423" t="s">
        <v>630</v>
      </c>
      <c r="AA1" s="424" t="s">
        <v>631</v>
      </c>
      <c r="AB1" s="424" t="s">
        <v>632</v>
      </c>
    </row>
    <row r="2" spans="1:28" ht="13.5" customHeight="1" thickBot="1">
      <c r="A2" s="6">
        <v>2</v>
      </c>
      <c r="B2" s="499" t="s">
        <v>583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500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62"/>
      <c r="AA2" s="22"/>
      <c r="AB2" s="22"/>
    </row>
    <row r="3" spans="1:28">
      <c r="A3" s="6">
        <v>3</v>
      </c>
      <c r="B3" s="264" t="s">
        <v>591</v>
      </c>
      <c r="C3" s="269" t="s">
        <v>400</v>
      </c>
      <c r="D3" s="269" t="s">
        <v>399</v>
      </c>
      <c r="E3" s="269" t="s">
        <v>240</v>
      </c>
      <c r="F3" s="269" t="s">
        <v>368</v>
      </c>
      <c r="G3" s="269" t="s">
        <v>242</v>
      </c>
      <c r="H3" s="269" t="s">
        <v>243</v>
      </c>
      <c r="I3" s="269" t="s">
        <v>369</v>
      </c>
      <c r="J3" s="269" t="s">
        <v>245</v>
      </c>
      <c r="K3" s="269" t="s">
        <v>370</v>
      </c>
      <c r="L3" s="269" t="s">
        <v>371</v>
      </c>
      <c r="M3" s="269" t="s">
        <v>372</v>
      </c>
      <c r="N3" s="269" t="s">
        <v>373</v>
      </c>
      <c r="O3" s="269" t="s">
        <v>400</v>
      </c>
      <c r="P3" s="269" t="s">
        <v>399</v>
      </c>
      <c r="Q3" s="269" t="s">
        <v>240</v>
      </c>
      <c r="R3" s="269" t="s">
        <v>368</v>
      </c>
      <c r="S3" s="269" t="s">
        <v>242</v>
      </c>
      <c r="T3" s="269" t="s">
        <v>243</v>
      </c>
      <c r="U3" s="269" t="s">
        <v>369</v>
      </c>
      <c r="V3" s="269" t="s">
        <v>245</v>
      </c>
      <c r="W3" s="269" t="s">
        <v>370</v>
      </c>
      <c r="X3" s="269" t="s">
        <v>371</v>
      </c>
      <c r="Y3" s="269" t="s">
        <v>372</v>
      </c>
      <c r="Z3" s="269" t="s">
        <v>373</v>
      </c>
      <c r="AA3" s="269" t="s">
        <v>400</v>
      </c>
      <c r="AB3" s="269" t="s">
        <v>399</v>
      </c>
    </row>
    <row r="4" spans="1:28">
      <c r="A4" s="6">
        <v>4</v>
      </c>
      <c r="B4" s="190" t="s">
        <v>571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77"/>
    </row>
    <row r="5" spans="1:28">
      <c r="A5" s="6">
        <v>5</v>
      </c>
      <c r="B5" s="190" t="s">
        <v>577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77"/>
    </row>
    <row r="6" spans="1:28">
      <c r="A6" s="6">
        <v>6</v>
      </c>
      <c r="B6" s="190" t="s">
        <v>580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77"/>
    </row>
    <row r="7" spans="1:28">
      <c r="A7" s="6">
        <v>7</v>
      </c>
      <c r="B7" s="190" t="s">
        <v>572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1:28">
      <c r="A8" s="6">
        <v>8</v>
      </c>
      <c r="B8" s="190" t="s">
        <v>582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</row>
    <row r="9" spans="1:28" ht="13" thickBot="1">
      <c r="A9" s="6">
        <v>9</v>
      </c>
      <c r="B9" s="266" t="s">
        <v>584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273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77"/>
    </row>
    <row r="10" spans="1:28" ht="13" thickBot="1">
      <c r="A10" s="6">
        <v>10</v>
      </c>
      <c r="B10" s="276" t="s">
        <v>578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70"/>
      <c r="N10" s="274"/>
      <c r="O10" s="271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75"/>
      <c r="AA10" s="222"/>
      <c r="AB10" s="230"/>
    </row>
    <row r="11" spans="1:28" ht="13" thickBot="1">
      <c r="A11" s="6">
        <v>11</v>
      </c>
      <c r="B11" s="277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70"/>
      <c r="N11" s="278"/>
      <c r="O11" s="271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328"/>
      <c r="AA11" s="222"/>
      <c r="AB11" s="230"/>
    </row>
    <row r="12" spans="1:28">
      <c r="A12" s="6">
        <v>12</v>
      </c>
      <c r="B12" s="238" t="s">
        <v>592</v>
      </c>
      <c r="C12" s="269" t="s">
        <v>400</v>
      </c>
      <c r="D12" s="269" t="s">
        <v>399</v>
      </c>
      <c r="E12" s="269" t="s">
        <v>240</v>
      </c>
      <c r="F12" s="269" t="s">
        <v>368</v>
      </c>
      <c r="G12" s="269" t="s">
        <v>242</v>
      </c>
      <c r="H12" s="269" t="s">
        <v>243</v>
      </c>
      <c r="I12" s="269" t="s">
        <v>369</v>
      </c>
      <c r="J12" s="269" t="s">
        <v>245</v>
      </c>
      <c r="K12" s="269" t="s">
        <v>370</v>
      </c>
      <c r="L12" s="269" t="s">
        <v>371</v>
      </c>
      <c r="M12" s="269" t="s">
        <v>372</v>
      </c>
      <c r="N12" s="269" t="s">
        <v>373</v>
      </c>
      <c r="O12" s="269" t="s">
        <v>400</v>
      </c>
      <c r="P12" s="269" t="s">
        <v>399</v>
      </c>
      <c r="Q12" s="269" t="s">
        <v>240</v>
      </c>
      <c r="R12" s="269" t="s">
        <v>368</v>
      </c>
      <c r="S12" s="269" t="s">
        <v>242</v>
      </c>
      <c r="T12" s="269" t="s">
        <v>243</v>
      </c>
      <c r="U12" s="269" t="s">
        <v>369</v>
      </c>
      <c r="V12" s="269" t="s">
        <v>245</v>
      </c>
      <c r="W12" s="269" t="s">
        <v>370</v>
      </c>
      <c r="X12" s="269" t="s">
        <v>371</v>
      </c>
      <c r="Y12" s="269" t="s">
        <v>372</v>
      </c>
      <c r="Z12" s="269" t="s">
        <v>373</v>
      </c>
      <c r="AA12" s="269" t="s">
        <v>400</v>
      </c>
      <c r="AB12" s="269" t="s">
        <v>399</v>
      </c>
    </row>
    <row r="13" spans="1:28">
      <c r="A13" s="6">
        <v>13</v>
      </c>
      <c r="B13" s="190" t="s">
        <v>361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7"/>
    </row>
    <row r="14" spans="1:28">
      <c r="A14" s="6">
        <v>14</v>
      </c>
      <c r="B14" s="190" t="s">
        <v>363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7"/>
    </row>
    <row r="15" spans="1:28">
      <c r="A15" s="6">
        <v>15</v>
      </c>
      <c r="B15" s="190" t="s">
        <v>362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30"/>
    </row>
    <row r="16" spans="1:28">
      <c r="A16" s="6">
        <v>16</v>
      </c>
      <c r="B16" s="190" t="s">
        <v>581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77"/>
    </row>
    <row r="17" spans="1:28">
      <c r="A17" s="6">
        <v>17</v>
      </c>
      <c r="B17" s="190" t="s">
        <v>511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77"/>
    </row>
    <row r="18" spans="1:28">
      <c r="A18" s="6">
        <v>18</v>
      </c>
      <c r="B18" s="190" t="s">
        <v>575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77"/>
    </row>
    <row r="19" spans="1:28" ht="13" thickBot="1">
      <c r="A19" s="6">
        <v>19</v>
      </c>
      <c r="B19" s="190" t="s">
        <v>585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273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77"/>
    </row>
    <row r="20" spans="1:28" ht="13" thickBot="1">
      <c r="A20" s="6">
        <v>20</v>
      </c>
      <c r="B20" s="276" t="s">
        <v>579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70"/>
      <c r="N20" s="274"/>
      <c r="O20" s="271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75"/>
      <c r="AA20" s="222"/>
      <c r="AB20" s="230"/>
    </row>
    <row r="21" spans="1:28">
      <c r="A21" s="6">
        <v>21</v>
      </c>
      <c r="B21" s="158" t="s">
        <v>633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7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30"/>
    </row>
    <row r="22" spans="1:28" ht="13" thickBot="1">
      <c r="A22" s="6">
        <v>22</v>
      </c>
      <c r="B22" s="246" t="s">
        <v>576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268"/>
    </row>
  </sheetData>
  <mergeCells count="1">
    <mergeCell ref="B2:N2"/>
  </mergeCells>
  <phoneticPr fontId="9" type="noConversion"/>
  <printOptions headings="1" gridLines="1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AB60"/>
  <sheetViews>
    <sheetView topLeftCell="P1" workbookViewId="0">
      <pane ySplit="480" topLeftCell="A44" activePane="bottomLeft"/>
      <selection activeCell="B7" sqref="B7"/>
      <selection pane="bottomLeft" activeCell="AC60" sqref="AC60"/>
    </sheetView>
  </sheetViews>
  <sheetFormatPr baseColWidth="10" defaultRowHeight="12" outlineLevelRow="1" x14ac:dyDescent="0"/>
  <cols>
    <col min="1" max="1" width="47.6640625" bestFit="1" customWidth="1"/>
    <col min="2" max="3" width="8.33203125" bestFit="1" customWidth="1"/>
    <col min="4" max="4" width="8" bestFit="1" customWidth="1"/>
    <col min="5" max="5" width="8.1640625" bestFit="1" customWidth="1"/>
    <col min="6" max="7" width="8.83203125" bestFit="1" customWidth="1"/>
    <col min="8" max="11" width="9" bestFit="1" customWidth="1"/>
    <col min="12" max="13" width="8.83203125" bestFit="1" customWidth="1"/>
    <col min="14" max="14" width="8.83203125" style="20" bestFit="1" customWidth="1"/>
    <col min="15" max="23" width="8.83203125" bestFit="1" customWidth="1"/>
    <col min="24" max="25" width="9.6640625" bestFit="1" customWidth="1"/>
    <col min="26" max="26" width="9.6640625" style="20" bestFit="1" customWidth="1"/>
    <col min="27" max="28" width="9.1640625" bestFit="1" customWidth="1"/>
  </cols>
  <sheetData>
    <row r="1" spans="1:28">
      <c r="A1" s="300"/>
      <c r="B1" s="301" t="s">
        <v>151</v>
      </c>
      <c r="C1" s="302" t="s">
        <v>238</v>
      </c>
      <c r="D1" s="302" t="s">
        <v>239</v>
      </c>
      <c r="E1" s="302" t="s">
        <v>240</v>
      </c>
      <c r="F1" s="302" t="s">
        <v>241</v>
      </c>
      <c r="G1" s="302" t="s">
        <v>242</v>
      </c>
      <c r="H1" s="302" t="s">
        <v>243</v>
      </c>
      <c r="I1" s="302" t="s">
        <v>244</v>
      </c>
      <c r="J1" s="302" t="s">
        <v>245</v>
      </c>
      <c r="K1" s="302" t="s">
        <v>246</v>
      </c>
      <c r="L1" s="302" t="s">
        <v>247</v>
      </c>
      <c r="M1" s="302" t="s">
        <v>248</v>
      </c>
      <c r="N1" s="302" t="s">
        <v>249</v>
      </c>
      <c r="O1" s="303" t="s">
        <v>238</v>
      </c>
      <c r="P1" s="303" t="s">
        <v>285</v>
      </c>
      <c r="Q1" s="303" t="s">
        <v>240</v>
      </c>
      <c r="R1" s="303" t="s">
        <v>368</v>
      </c>
      <c r="S1" s="303" t="s">
        <v>242</v>
      </c>
      <c r="T1" s="303" t="s">
        <v>243</v>
      </c>
      <c r="U1" s="303" t="s">
        <v>369</v>
      </c>
      <c r="V1" s="303" t="s">
        <v>245</v>
      </c>
      <c r="W1" s="303" t="s">
        <v>370</v>
      </c>
      <c r="X1" s="303" t="s">
        <v>371</v>
      </c>
      <c r="Y1" s="303" t="s">
        <v>372</v>
      </c>
      <c r="Z1" s="303" t="s">
        <v>373</v>
      </c>
      <c r="AA1" s="303" t="s">
        <v>400</v>
      </c>
      <c r="AB1" s="303" t="s">
        <v>399</v>
      </c>
    </row>
    <row r="2" spans="1:28">
      <c r="A2" s="300" t="s">
        <v>487</v>
      </c>
      <c r="B2" s="301"/>
      <c r="C2" s="302">
        <v>1</v>
      </c>
      <c r="D2" s="302">
        <v>2</v>
      </c>
      <c r="E2" s="302">
        <v>3</v>
      </c>
      <c r="F2" s="302">
        <v>4</v>
      </c>
      <c r="G2" s="302">
        <v>5</v>
      </c>
      <c r="H2" s="302">
        <v>6</v>
      </c>
      <c r="I2" s="302">
        <v>7</v>
      </c>
      <c r="J2" s="302">
        <v>8</v>
      </c>
      <c r="K2" s="302">
        <v>9</v>
      </c>
      <c r="L2" s="302">
        <v>10</v>
      </c>
      <c r="M2" s="302">
        <v>11</v>
      </c>
      <c r="N2" s="302">
        <v>12</v>
      </c>
      <c r="O2" s="302">
        <v>13</v>
      </c>
      <c r="P2" s="302">
        <v>14</v>
      </c>
      <c r="Q2" s="302">
        <v>15</v>
      </c>
      <c r="R2" s="302">
        <v>16</v>
      </c>
      <c r="S2" s="302">
        <v>17</v>
      </c>
      <c r="T2" s="302">
        <v>18</v>
      </c>
      <c r="U2" s="302">
        <v>19</v>
      </c>
      <c r="V2" s="302">
        <v>20</v>
      </c>
      <c r="W2" s="302">
        <v>21</v>
      </c>
      <c r="X2" s="302">
        <v>22</v>
      </c>
      <c r="Y2" s="302">
        <v>23</v>
      </c>
      <c r="Z2" s="302">
        <v>24</v>
      </c>
      <c r="AA2" s="303">
        <v>25</v>
      </c>
      <c r="AB2" s="303">
        <v>26</v>
      </c>
    </row>
    <row r="3" spans="1:28">
      <c r="A3" s="304" t="s">
        <v>206</v>
      </c>
      <c r="B3" s="304"/>
      <c r="C3" s="305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</row>
    <row r="4" spans="1:28">
      <c r="A4" s="306" t="s">
        <v>427</v>
      </c>
      <c r="B4" s="162"/>
      <c r="C4" s="307"/>
      <c r="D4" s="307"/>
      <c r="E4" s="307"/>
      <c r="F4" s="307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</row>
    <row r="5" spans="1:28" ht="14.25" customHeight="1">
      <c r="A5" s="309" t="s">
        <v>428</v>
      </c>
      <c r="B5" s="310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186"/>
      <c r="P5" s="162"/>
      <c r="Q5" s="162"/>
      <c r="R5" s="162"/>
      <c r="S5" s="162"/>
      <c r="T5" s="308"/>
      <c r="U5" s="308"/>
      <c r="V5" s="308"/>
      <c r="W5" s="308"/>
      <c r="X5" s="308"/>
      <c r="Y5" s="308"/>
      <c r="Z5" s="308"/>
      <c r="AA5" s="308"/>
      <c r="AB5" s="308"/>
    </row>
    <row r="6" spans="1:28" ht="14.25" customHeight="1">
      <c r="A6" s="309" t="s">
        <v>452</v>
      </c>
      <c r="B6" s="310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</row>
    <row r="7" spans="1:28" ht="15" customHeight="1">
      <c r="A7" s="312" t="s">
        <v>586</v>
      </c>
      <c r="B7" s="329">
        <f>'Tableau simu'!B23</f>
        <v>30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</row>
    <row r="8" spans="1:28">
      <c r="A8" s="304" t="s">
        <v>226</v>
      </c>
      <c r="B8" s="30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186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</row>
    <row r="9" spans="1:28">
      <c r="A9" s="300" t="s">
        <v>425</v>
      </c>
      <c r="B9" s="310">
        <f>('Budget, PV contrat'!D17)*1.196</f>
        <v>26216.32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</row>
    <row r="10" spans="1:28">
      <c r="A10" s="300" t="s">
        <v>426</v>
      </c>
      <c r="B10" s="310">
        <f>('Budget, PV contrat'!J17)*1.196</f>
        <v>0</v>
      </c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</row>
    <row r="11" spans="1:28" collapsed="1">
      <c r="A11" s="300" t="s">
        <v>30</v>
      </c>
      <c r="B11" s="30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162"/>
      <c r="AB11" s="162"/>
    </row>
    <row r="12" spans="1:28" hidden="1" outlineLevel="1">
      <c r="A12" s="306" t="s">
        <v>129</v>
      </c>
      <c r="B12" s="301">
        <v>3000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186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</row>
    <row r="13" spans="1:28" hidden="1" outlineLevel="1">
      <c r="A13" s="306" t="s">
        <v>130</v>
      </c>
      <c r="B13" s="301">
        <v>3000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186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</row>
    <row r="14" spans="1:28" hidden="1" outlineLevel="1">
      <c r="A14" s="306" t="s">
        <v>131</v>
      </c>
      <c r="B14" s="301">
        <v>3000</v>
      </c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186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</row>
    <row r="15" spans="1:28" hidden="1" outlineLevel="1">
      <c r="A15" s="306" t="s">
        <v>133</v>
      </c>
      <c r="B15" s="301">
        <v>1200</v>
      </c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186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</row>
    <row r="16" spans="1:28" hidden="1" outlineLevel="1">
      <c r="A16" s="306" t="s">
        <v>132</v>
      </c>
      <c r="B16" s="301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186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</row>
    <row r="17" spans="1:28" hidden="1" outlineLevel="1">
      <c r="A17" s="314" t="s">
        <v>202</v>
      </c>
      <c r="B17" s="301">
        <v>3000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186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</row>
    <row r="18" spans="1:28" hidden="1" outlineLevel="1">
      <c r="A18" s="306" t="s">
        <v>150</v>
      </c>
      <c r="B18" s="301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186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</row>
    <row r="19" spans="1:28" hidden="1" outlineLevel="1">
      <c r="A19" s="314" t="s">
        <v>203</v>
      </c>
      <c r="B19" s="301">
        <v>2500</v>
      </c>
      <c r="C19" s="311"/>
      <c r="D19" s="311"/>
      <c r="E19" s="311"/>
      <c r="F19" s="313"/>
      <c r="G19" s="313"/>
      <c r="H19" s="313"/>
      <c r="I19" s="313"/>
      <c r="J19" s="313"/>
      <c r="K19" s="313"/>
      <c r="L19" s="313"/>
      <c r="M19" s="313"/>
      <c r="N19" s="313"/>
      <c r="O19" s="186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</row>
    <row r="20" spans="1:28" hidden="1" outlineLevel="1">
      <c r="A20" s="306" t="s">
        <v>134</v>
      </c>
      <c r="B20" s="301"/>
      <c r="C20" s="311"/>
      <c r="D20" s="311"/>
      <c r="E20" s="311"/>
      <c r="F20" s="311"/>
      <c r="G20" s="313"/>
      <c r="H20" s="313"/>
      <c r="I20" s="313"/>
      <c r="J20" s="313"/>
      <c r="K20" s="313"/>
      <c r="L20" s="313"/>
      <c r="M20" s="313"/>
      <c r="N20" s="313"/>
      <c r="O20" s="186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</row>
    <row r="21" spans="1:28" hidden="1" outlineLevel="1">
      <c r="A21" s="314" t="s">
        <v>204</v>
      </c>
      <c r="B21" s="301">
        <v>2800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186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</row>
    <row r="22" spans="1:28" hidden="1" outlineLevel="1">
      <c r="A22" s="306" t="s">
        <v>269</v>
      </c>
      <c r="B22" s="30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186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</row>
    <row r="23" spans="1:28" hidden="1" outlineLevel="1">
      <c r="A23" s="314" t="s">
        <v>509</v>
      </c>
      <c r="B23" s="301">
        <f>'Tableau simu'!B43</f>
        <v>0</v>
      </c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186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</row>
    <row r="24" spans="1:28" hidden="1" outlineLevel="1">
      <c r="A24" s="306" t="s">
        <v>135</v>
      </c>
      <c r="B24" s="301"/>
      <c r="C24" s="311"/>
      <c r="D24" s="311"/>
      <c r="E24" s="311"/>
      <c r="F24" s="311"/>
      <c r="G24" s="313"/>
      <c r="H24" s="313"/>
      <c r="I24" s="313"/>
      <c r="J24" s="313"/>
      <c r="K24" s="313"/>
      <c r="L24" s="313"/>
      <c r="M24" s="313"/>
      <c r="N24" s="313"/>
      <c r="O24" s="186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</row>
    <row r="25" spans="1:28" hidden="1" outlineLevel="1">
      <c r="A25" s="314" t="s">
        <v>205</v>
      </c>
      <c r="B25" s="301">
        <v>1500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186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</row>
    <row r="26" spans="1:28">
      <c r="A26" s="306" t="s">
        <v>283</v>
      </c>
      <c r="B26" s="315">
        <f>'Tableau simu'!B49</f>
        <v>0.5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</row>
    <row r="27" spans="1:28">
      <c r="A27" s="300" t="s">
        <v>200</v>
      </c>
      <c r="B27" s="315">
        <f>'Tableau simu'!B51</f>
        <v>0.2</v>
      </c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162"/>
      <c r="AB27" s="162"/>
    </row>
    <row r="28" spans="1:28" collapsed="1">
      <c r="A28" s="300" t="s">
        <v>201</v>
      </c>
      <c r="B28" s="315">
        <f>'Tableau simu'!B52</f>
        <v>0.08</v>
      </c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162"/>
      <c r="AB28" s="162"/>
    </row>
    <row r="29" spans="1:28">
      <c r="A29" s="300" t="s">
        <v>451</v>
      </c>
      <c r="B29" s="316">
        <v>2000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162"/>
      <c r="AB29" s="162"/>
    </row>
    <row r="30" spans="1:28">
      <c r="A30" s="304" t="s">
        <v>282</v>
      </c>
      <c r="B30" s="315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62"/>
      <c r="AB30" s="162"/>
    </row>
    <row r="31" spans="1:28">
      <c r="A31" s="304" t="s">
        <v>364</v>
      </c>
      <c r="B31" s="163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</row>
    <row r="32" spans="1:28">
      <c r="A32" s="304" t="s">
        <v>457</v>
      </c>
      <c r="B32" s="163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</row>
    <row r="33" spans="1:28">
      <c r="A33" s="304" t="s">
        <v>476</v>
      </c>
      <c r="B33" s="163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</row>
    <row r="34" spans="1:28">
      <c r="A34" s="304" t="s">
        <v>275</v>
      </c>
      <c r="B34" s="163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</row>
    <row r="35" spans="1:28">
      <c r="A35" s="304"/>
      <c r="B35" s="163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6"/>
      <c r="P35" s="162"/>
      <c r="Q35" s="162"/>
      <c r="R35" s="162"/>
      <c r="S35" s="235"/>
      <c r="T35" s="162"/>
      <c r="U35" s="162"/>
      <c r="V35" s="162"/>
      <c r="W35" s="162"/>
      <c r="X35" s="162"/>
      <c r="Y35" s="162"/>
      <c r="Z35" s="162"/>
      <c r="AA35" s="162"/>
      <c r="AB35" s="162"/>
    </row>
    <row r="36" spans="1:28">
      <c r="A36" s="304" t="s">
        <v>213</v>
      </c>
      <c r="B36" s="30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186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</row>
    <row r="37" spans="1:28">
      <c r="A37" s="300" t="s">
        <v>207</v>
      </c>
      <c r="B37" s="316">
        <f>'Tableau simu'!B55</f>
        <v>50000</v>
      </c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207"/>
      <c r="P37" s="162"/>
      <c r="Q37" s="162"/>
      <c r="R37" s="162"/>
      <c r="S37" s="235"/>
      <c r="T37" s="162"/>
      <c r="U37" s="162"/>
      <c r="V37" s="162"/>
      <c r="W37" s="162"/>
      <c r="X37" s="162"/>
      <c r="Y37" s="162"/>
      <c r="Z37" s="162"/>
      <c r="AA37" s="162"/>
      <c r="AB37" s="162"/>
    </row>
    <row r="38" spans="1:28">
      <c r="A38" s="300" t="s">
        <v>211</v>
      </c>
      <c r="B38" s="317">
        <f>'Tableau simu'!B28</f>
        <v>65000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207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</row>
    <row r="39" spans="1:28">
      <c r="A39" s="300" t="s">
        <v>215</v>
      </c>
      <c r="B39" s="317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186"/>
      <c r="P39" s="162"/>
      <c r="Q39" s="162"/>
      <c r="R39" s="162"/>
      <c r="S39" s="235"/>
      <c r="T39" s="162"/>
      <c r="U39" s="162"/>
      <c r="V39" s="162"/>
      <c r="W39" s="162"/>
      <c r="X39" s="162"/>
      <c r="Y39" s="162"/>
      <c r="Z39" s="162"/>
      <c r="AA39" s="162"/>
      <c r="AB39" s="162"/>
    </row>
    <row r="40" spans="1:28">
      <c r="A40" s="304" t="s">
        <v>209</v>
      </c>
      <c r="B40" s="30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186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</row>
    <row r="41" spans="1:28">
      <c r="A41" s="304" t="s">
        <v>214</v>
      </c>
      <c r="B41" s="30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186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</row>
    <row r="42" spans="1:28">
      <c r="A42" s="300" t="s">
        <v>208</v>
      </c>
      <c r="B42" s="30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186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</row>
    <row r="43" spans="1:28">
      <c r="A43" s="300" t="s">
        <v>219</v>
      </c>
      <c r="B43" s="30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186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</row>
    <row r="44" spans="1:28">
      <c r="A44" s="314" t="s">
        <v>221</v>
      </c>
      <c r="B44" s="30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186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</row>
    <row r="45" spans="1:28">
      <c r="A45" s="314" t="s">
        <v>220</v>
      </c>
      <c r="B45" s="30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186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8">
      <c r="A46" s="300" t="s">
        <v>280</v>
      </c>
      <c r="B46" s="315">
        <f>'Tableau simu'!B30</f>
        <v>7.0000000000000007E-2</v>
      </c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</row>
    <row r="47" spans="1:28">
      <c r="A47" s="300" t="s">
        <v>216</v>
      </c>
      <c r="B47" s="317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186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</row>
    <row r="48" spans="1:28">
      <c r="A48" s="304" t="s">
        <v>210</v>
      </c>
      <c r="B48" s="30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</row>
    <row r="49" spans="1:28" s="1" customFormat="1">
      <c r="A49" s="304" t="s">
        <v>276</v>
      </c>
      <c r="B49" s="163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</row>
    <row r="50" spans="1:28" s="1" customFormat="1">
      <c r="A50" s="304"/>
      <c r="B50" s="163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318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</row>
    <row r="51" spans="1:28">
      <c r="A51" s="304" t="s">
        <v>277</v>
      </c>
      <c r="B51" s="163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</row>
    <row r="52" spans="1:28">
      <c r="A52" s="300"/>
      <c r="B52" s="30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186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</row>
    <row r="53" spans="1:28">
      <c r="A53" s="304" t="s">
        <v>212</v>
      </c>
      <c r="B53" s="301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186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</row>
    <row r="54" spans="1:28">
      <c r="A54" s="300" t="s">
        <v>217</v>
      </c>
      <c r="B54" s="315">
        <v>0.08</v>
      </c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186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</row>
    <row r="55" spans="1:28">
      <c r="A55" s="300" t="s">
        <v>281</v>
      </c>
      <c r="B55" s="315">
        <f>'Tableau simu'!B31</f>
        <v>0.1</v>
      </c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</row>
    <row r="56" spans="1:28">
      <c r="A56" s="300" t="s">
        <v>284</v>
      </c>
      <c r="B56" s="30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</row>
    <row r="57" spans="1:28">
      <c r="A57" s="304" t="s">
        <v>218</v>
      </c>
      <c r="B57" s="163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</row>
    <row r="60" spans="1:28">
      <c r="D60" s="38"/>
    </row>
  </sheetData>
  <phoneticPr fontId="0" type="noConversion"/>
  <printOptions horizontalCentered="1" verticalCentered="1" headings="1" gridLines="1"/>
  <pageMargins left="0" right="0" top="0" bottom="0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Tableau simu</vt:lpstr>
      <vt:lpstr>Prod,Fact,Encaisse</vt:lpstr>
      <vt:lpstr>TEC</vt:lpstr>
      <vt:lpstr>Personnel,salaires</vt:lpstr>
      <vt:lpstr>Immo</vt:lpstr>
      <vt:lpstr>TH </vt:lpstr>
      <vt:lpstr>Budget, PV contrat</vt:lpstr>
      <vt:lpstr>TVA</vt:lpstr>
      <vt:lpstr>Trésorerie </vt:lpstr>
      <vt:lpstr>Produits </vt:lpstr>
      <vt:lpstr>Charges </vt:lpstr>
      <vt:lpstr>Passif </vt:lpstr>
      <vt:lpstr>Actif </vt:lpstr>
      <vt:lpstr>FR, BFR,CA max</vt:lpstr>
      <vt:lpstr>Plan financt</vt:lpstr>
      <vt:lpstr>Equation perf</vt:lpstr>
      <vt:lpstr>Impact Scénariste</vt:lpstr>
      <vt:lpstr>Prime DC et IRPP</vt:lpstr>
      <vt:lpstr>Diagnostic</vt:lpstr>
    </vt:vector>
  </TitlesOfParts>
  <Company>3MI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Doriot</dc:creator>
  <cp:lastModifiedBy>Guy DORIOT</cp:lastModifiedBy>
  <cp:lastPrinted>2009-02-27T14:44:01Z</cp:lastPrinted>
  <dcterms:created xsi:type="dcterms:W3CDTF">2004-03-12T16:54:30Z</dcterms:created>
  <dcterms:modified xsi:type="dcterms:W3CDTF">2013-01-02T15:24:40Z</dcterms:modified>
</cp:coreProperties>
</file>