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/>
  <bookViews>
    <workbookView xWindow="2385" yWindow="0" windowWidth="20475" windowHeight="13575" tabRatio="943" activeTab="8"/>
  </bookViews>
  <sheets>
    <sheet name="Tableau simu" sheetId="22" r:id="rId1"/>
    <sheet name="Prod,Fact,Encaisse" sheetId="23" r:id="rId2"/>
    <sheet name="TEC" sheetId="26" r:id="rId3"/>
    <sheet name="Personnel,salaires" sheetId="18" r:id="rId4"/>
    <sheet name="Immo" sheetId="10" r:id="rId5"/>
    <sheet name="TH " sheetId="11" r:id="rId6"/>
    <sheet name="Budget, PV contrat" sheetId="19" r:id="rId7"/>
    <sheet name="TVA" sheetId="24" r:id="rId8"/>
    <sheet name="Trésorerie " sheetId="15" r:id="rId9"/>
    <sheet name="Produits " sheetId="6" r:id="rId10"/>
    <sheet name="Charges " sheetId="7" r:id="rId11"/>
    <sheet name="Passif " sheetId="9" r:id="rId12"/>
    <sheet name="Actif " sheetId="8" r:id="rId13"/>
    <sheet name="FR, BFR,CA max" sheetId="17" r:id="rId14"/>
    <sheet name="Plan financt" sheetId="21" r:id="rId15"/>
    <sheet name="Equation perf" sheetId="25" r:id="rId16"/>
    <sheet name="Impact Scénariste" sheetId="27" r:id="rId17"/>
    <sheet name="Prime DC et IRPP" sheetId="28" r:id="rId18"/>
    <sheet name="Diagnostic" sheetId="29" r:id="rId19"/>
  </sheets>
  <externalReferences>
    <externalReference r:id="rId20"/>
    <externalReference r:id="rId21"/>
  </externalReferences>
  <definedNames>
    <definedName name="_xlnm.Print_Titles" localSheetId="8">'Trésorerie '!$A:$A</definedName>
    <definedName name="_xlnm.Print_Area" localSheetId="12">'Actif '!$A$1:$E$51</definedName>
    <definedName name="_xlnm.Print_Area" localSheetId="6">'Budget, PV contrat'!$A$1:$D$18</definedName>
    <definedName name="_xlnm.Print_Area" localSheetId="10">'Charges '!$B$1:$C$73</definedName>
    <definedName name="_xlnm.Print_Area" localSheetId="15">'Equation perf'!$B$2:$D$23</definedName>
    <definedName name="_xlnm.Print_Area" localSheetId="13">'FR, BFR,CA max'!$A$1:$E$19</definedName>
    <definedName name="_xlnm.Print_Area" localSheetId="4">Immo!$B$2:$L$35</definedName>
    <definedName name="_xlnm.Print_Area" localSheetId="11">'Passif '!$A$1:$D$44</definedName>
    <definedName name="_xlnm.Print_Area" localSheetId="3">'Personnel,salaires'!$A$1:$AC$16</definedName>
    <definedName name="_xlnm.Print_Area" localSheetId="9">'Produits '!$B$1:$D$36</definedName>
    <definedName name="_xlnm.Print_Area" localSheetId="0">'Tableau simu'!$E$1:$G$19</definedName>
    <definedName name="_xlnm.Print_Area" localSheetId="2">TEC!$A$1:$I$19</definedName>
    <definedName name="_xlnm.Print_Area" localSheetId="5">'TH '!$A$1:$U$24</definedName>
    <definedName name="_xlnm.Print_Area" localSheetId="8">'Trésorerie '!$A$1:$P$57</definedName>
    <definedName name="_xlnm.Print_Area" localSheetId="7">TVA!$B$2:$N$22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5" i="8"/>
  <c r="H41"/>
  <c r="H15"/>
  <c r="H12"/>
  <c r="G7"/>
  <c r="F7"/>
  <c r="H7"/>
  <c r="G6"/>
  <c r="F6"/>
  <c r="H6"/>
  <c r="G5"/>
  <c r="F5"/>
  <c r="H5"/>
  <c r="F27" i="9"/>
  <c r="F7"/>
  <c r="F4"/>
  <c r="E4"/>
  <c r="O4" i="24"/>
  <c r="P4"/>
  <c r="Q4"/>
  <c r="R4"/>
  <c r="S4"/>
  <c r="T4"/>
  <c r="U4"/>
  <c r="V4"/>
  <c r="W4"/>
  <c r="X4"/>
  <c r="Y4"/>
  <c r="Z4"/>
  <c r="O5"/>
  <c r="P5"/>
  <c r="Q5"/>
  <c r="R5"/>
  <c r="S5"/>
  <c r="T5"/>
  <c r="U5"/>
  <c r="V5"/>
  <c r="W5"/>
  <c r="X5"/>
  <c r="Y5"/>
  <c r="Z5"/>
  <c r="O6"/>
  <c r="P6"/>
  <c r="Q6"/>
  <c r="R6"/>
  <c r="S6"/>
  <c r="T6"/>
  <c r="U6"/>
  <c r="V6"/>
  <c r="W6"/>
  <c r="X6"/>
  <c r="Y6"/>
  <c r="Z6"/>
  <c r="O7"/>
  <c r="P7"/>
  <c r="Q7"/>
  <c r="R7"/>
  <c r="S7"/>
  <c r="T7"/>
  <c r="U7"/>
  <c r="V7"/>
  <c r="W7"/>
  <c r="X7"/>
  <c r="Y7"/>
  <c r="Z7"/>
  <c r="O8"/>
  <c r="P8"/>
  <c r="Q8"/>
  <c r="R8"/>
  <c r="S8"/>
  <c r="T8"/>
  <c r="U8"/>
  <c r="V8"/>
  <c r="W8"/>
  <c r="X8"/>
  <c r="Y8"/>
  <c r="Z8"/>
  <c r="O9"/>
  <c r="O18"/>
  <c r="O19"/>
  <c r="O21"/>
  <c r="O22"/>
  <c r="P9"/>
  <c r="O13"/>
  <c r="O15"/>
  <c r="O16"/>
  <c r="O17"/>
  <c r="P18"/>
  <c r="P19"/>
  <c r="P21"/>
  <c r="P22"/>
  <c r="Q9"/>
  <c r="P13"/>
  <c r="P16"/>
  <c r="P17"/>
  <c r="Q18"/>
  <c r="Q19"/>
  <c r="Q21"/>
  <c r="Q22"/>
  <c r="R9"/>
  <c r="Q13"/>
  <c r="Q16"/>
  <c r="Q17"/>
  <c r="R18"/>
  <c r="R19"/>
  <c r="R21"/>
  <c r="R22"/>
  <c r="S9"/>
  <c r="R13"/>
  <c r="R16"/>
  <c r="R17"/>
  <c r="S18"/>
  <c r="S19"/>
  <c r="S21"/>
  <c r="S22"/>
  <c r="T9"/>
  <c r="S13"/>
  <c r="S16"/>
  <c r="S17"/>
  <c r="T18"/>
  <c r="T19"/>
  <c r="T21"/>
  <c r="T22"/>
  <c r="U9"/>
  <c r="T13"/>
  <c r="T16"/>
  <c r="T17"/>
  <c r="U18"/>
  <c r="U19"/>
  <c r="U21"/>
  <c r="U22"/>
  <c r="V9"/>
  <c r="U13"/>
  <c r="U14"/>
  <c r="U16"/>
  <c r="U17"/>
  <c r="V18"/>
  <c r="V19"/>
  <c r="V21"/>
  <c r="V22"/>
  <c r="W9"/>
  <c r="V13"/>
  <c r="V16"/>
  <c r="V17"/>
  <c r="W18"/>
  <c r="W19"/>
  <c r="W21"/>
  <c r="W22"/>
  <c r="X9"/>
  <c r="W13"/>
  <c r="W14"/>
  <c r="W16"/>
  <c r="W17"/>
  <c r="X18"/>
  <c r="X19"/>
  <c r="X21"/>
  <c r="X22"/>
  <c r="Y9"/>
  <c r="X13"/>
  <c r="X16"/>
  <c r="X17"/>
  <c r="Y18"/>
  <c r="Y19"/>
  <c r="Y21"/>
  <c r="Y22"/>
  <c r="Z9"/>
  <c r="Z10"/>
  <c r="Y13"/>
  <c r="Z13"/>
  <c r="Y14"/>
  <c r="Y16"/>
  <c r="Z16"/>
  <c r="Y17"/>
  <c r="Z17"/>
  <c r="Z18"/>
  <c r="Z19"/>
  <c r="Z20"/>
  <c r="Z21"/>
  <c r="Z22"/>
  <c r="AA8"/>
  <c r="AA9"/>
  <c r="AA18"/>
  <c r="AA19"/>
  <c r="AA21"/>
  <c r="AB9"/>
  <c r="AB19"/>
  <c r="AB21"/>
  <c r="AA6"/>
  <c r="AB6"/>
  <c r="V10" i="15"/>
  <c r="X10"/>
  <c r="Z10"/>
  <c r="D12" i="7"/>
  <c r="D10"/>
  <c r="D9"/>
  <c r="D49"/>
  <c r="O30" i="15"/>
  <c r="O31"/>
  <c r="O34"/>
  <c r="O51"/>
  <c r="O57"/>
  <c r="P3"/>
  <c r="Q55"/>
  <c r="P30"/>
  <c r="P31"/>
  <c r="P34"/>
  <c r="P51"/>
  <c r="P57"/>
  <c r="Q3"/>
  <c r="R55"/>
  <c r="Q30"/>
  <c r="Q31"/>
  <c r="Q34"/>
  <c r="Q51"/>
  <c r="Q57"/>
  <c r="R3"/>
  <c r="S55"/>
  <c r="R30"/>
  <c r="R31"/>
  <c r="R34"/>
  <c r="R51"/>
  <c r="R57"/>
  <c r="S3"/>
  <c r="T55"/>
  <c r="S30"/>
  <c r="S31"/>
  <c r="S34"/>
  <c r="S51"/>
  <c r="S57"/>
  <c r="T3"/>
  <c r="U55"/>
  <c r="T30"/>
  <c r="T31"/>
  <c r="T34"/>
  <c r="T51"/>
  <c r="T57"/>
  <c r="U3"/>
  <c r="V55"/>
  <c r="U30"/>
  <c r="U31"/>
  <c r="U34"/>
  <c r="U51"/>
  <c r="U57"/>
  <c r="V3"/>
  <c r="W55"/>
  <c r="V30"/>
  <c r="V31"/>
  <c r="V34"/>
  <c r="V51"/>
  <c r="V57"/>
  <c r="W3"/>
  <c r="X55"/>
  <c r="W30"/>
  <c r="W31"/>
  <c r="W34"/>
  <c r="W51"/>
  <c r="W57"/>
  <c r="X3"/>
  <c r="Y55"/>
  <c r="X30"/>
  <c r="X31"/>
  <c r="X34"/>
  <c r="X51"/>
  <c r="X57"/>
  <c r="Y3"/>
  <c r="Z55"/>
  <c r="D55" i="7"/>
  <c r="D58"/>
  <c r="D65"/>
  <c r="D66"/>
  <c r="G10" i="22"/>
  <c r="D48" i="7"/>
  <c r="H30" i="8"/>
  <c r="Y30" i="15"/>
  <c r="Y31"/>
  <c r="Y34"/>
  <c r="Y51"/>
  <c r="Y57"/>
  <c r="Z3"/>
  <c r="Z30"/>
  <c r="Z31"/>
  <c r="Z34"/>
  <c r="Z51"/>
  <c r="Z57"/>
  <c r="AA3"/>
  <c r="D11" i="7"/>
  <c r="Q14" i="18"/>
  <c r="R14"/>
  <c r="S14"/>
  <c r="T14"/>
  <c r="U14"/>
  <c r="V14"/>
  <c r="W14"/>
  <c r="X14"/>
  <c r="Y14"/>
  <c r="Z14"/>
  <c r="AA14"/>
  <c r="AB14"/>
  <c r="AC14"/>
  <c r="AD14"/>
  <c r="AD15"/>
  <c r="D13" i="7"/>
  <c r="D27"/>
  <c r="D34"/>
  <c r="D35"/>
  <c r="C5" i="18"/>
  <c r="D5"/>
  <c r="C6"/>
  <c r="D6"/>
  <c r="C7"/>
  <c r="D7"/>
  <c r="C8"/>
  <c r="D8"/>
  <c r="C10"/>
  <c r="D10"/>
  <c r="D15"/>
  <c r="C11" i="15"/>
  <c r="C27"/>
  <c r="C28"/>
  <c r="C30"/>
  <c r="C31"/>
  <c r="C34"/>
  <c r="C51"/>
  <c r="C57"/>
  <c r="D3"/>
  <c r="E5" i="18"/>
  <c r="E6"/>
  <c r="E7"/>
  <c r="E8"/>
  <c r="E10"/>
  <c r="E15"/>
  <c r="D11" i="15"/>
  <c r="D26"/>
  <c r="D27"/>
  <c r="D28"/>
  <c r="D30"/>
  <c r="D9" i="24"/>
  <c r="C13"/>
  <c r="C16"/>
  <c r="C17"/>
  <c r="D18"/>
  <c r="D19"/>
  <c r="D21"/>
  <c r="D22"/>
  <c r="D31" i="15"/>
  <c r="D34"/>
  <c r="D51"/>
  <c r="D57"/>
  <c r="E3"/>
  <c r="F5" i="18"/>
  <c r="F6"/>
  <c r="F7"/>
  <c r="F8"/>
  <c r="F10"/>
  <c r="F15"/>
  <c r="E11" i="15"/>
  <c r="E26"/>
  <c r="E27"/>
  <c r="E28"/>
  <c r="E30"/>
  <c r="E9" i="24"/>
  <c r="D13"/>
  <c r="D16"/>
  <c r="D17"/>
  <c r="E18"/>
  <c r="E19"/>
  <c r="E21"/>
  <c r="E22"/>
  <c r="E31" i="15"/>
  <c r="E34"/>
  <c r="E51"/>
  <c r="E55"/>
  <c r="E57"/>
  <c r="F3"/>
  <c r="G5" i="18"/>
  <c r="G6"/>
  <c r="G7"/>
  <c r="G8"/>
  <c r="G10"/>
  <c r="C11"/>
  <c r="G11"/>
  <c r="G15"/>
  <c r="F11" i="15"/>
  <c r="F26"/>
  <c r="F27"/>
  <c r="F28"/>
  <c r="F30"/>
  <c r="F9" i="24"/>
  <c r="E13"/>
  <c r="E16"/>
  <c r="E17"/>
  <c r="F18"/>
  <c r="F19"/>
  <c r="F21"/>
  <c r="F22"/>
  <c r="F31" i="15"/>
  <c r="F34"/>
  <c r="F51"/>
  <c r="F55"/>
  <c r="F57"/>
  <c r="G3"/>
  <c r="H5" i="18"/>
  <c r="H6"/>
  <c r="H7"/>
  <c r="H8"/>
  <c r="H10"/>
  <c r="H11"/>
  <c r="C12"/>
  <c r="H12"/>
  <c r="C13"/>
  <c r="H13"/>
  <c r="C14"/>
  <c r="H14"/>
  <c r="H15"/>
  <c r="G11" i="15"/>
  <c r="G26"/>
  <c r="G27"/>
  <c r="G28"/>
  <c r="G30"/>
  <c r="G9" i="24"/>
  <c r="F13"/>
  <c r="F16"/>
  <c r="F17"/>
  <c r="G18"/>
  <c r="G19"/>
  <c r="G21"/>
  <c r="G22"/>
  <c r="G31" i="15"/>
  <c r="G34"/>
  <c r="G51"/>
  <c r="G55"/>
  <c r="G57"/>
  <c r="H3"/>
  <c r="I5" i="18"/>
  <c r="I6"/>
  <c r="I7"/>
  <c r="I8"/>
  <c r="I10"/>
  <c r="I11"/>
  <c r="I12"/>
  <c r="I13"/>
  <c r="I14"/>
  <c r="I15"/>
  <c r="H11" i="15"/>
  <c r="H26"/>
  <c r="H27"/>
  <c r="H28"/>
  <c r="H30"/>
  <c r="H9" i="24"/>
  <c r="G13"/>
  <c r="G16"/>
  <c r="G17"/>
  <c r="H18"/>
  <c r="H19"/>
  <c r="H21"/>
  <c r="H22"/>
  <c r="H31" i="15"/>
  <c r="H34"/>
  <c r="H51"/>
  <c r="H55"/>
  <c r="H57"/>
  <c r="I3"/>
  <c r="J5" i="18"/>
  <c r="J6"/>
  <c r="J7"/>
  <c r="J8"/>
  <c r="J10"/>
  <c r="J11"/>
  <c r="J12"/>
  <c r="J13"/>
  <c r="J14"/>
  <c r="J15"/>
  <c r="I11" i="15"/>
  <c r="I26"/>
  <c r="I27"/>
  <c r="I28"/>
  <c r="I30"/>
  <c r="I9" i="24"/>
  <c r="H13"/>
  <c r="H16"/>
  <c r="H17"/>
  <c r="I18"/>
  <c r="I19"/>
  <c r="I21"/>
  <c r="I22"/>
  <c r="I31" i="15"/>
  <c r="I34"/>
  <c r="I51"/>
  <c r="I55"/>
  <c r="I57"/>
  <c r="J3"/>
  <c r="K5" i="18"/>
  <c r="K6"/>
  <c r="K7"/>
  <c r="K8"/>
  <c r="K10"/>
  <c r="K11"/>
  <c r="K12"/>
  <c r="K13"/>
  <c r="K14"/>
  <c r="K15"/>
  <c r="J11" i="15"/>
  <c r="J26"/>
  <c r="J27"/>
  <c r="J28"/>
  <c r="J30"/>
  <c r="J9" i="24"/>
  <c r="I13"/>
  <c r="I16"/>
  <c r="I17"/>
  <c r="J18"/>
  <c r="J19"/>
  <c r="J21"/>
  <c r="J22"/>
  <c r="J31" i="15"/>
  <c r="J34"/>
  <c r="J51"/>
  <c r="J55"/>
  <c r="J57"/>
  <c r="K3"/>
  <c r="L5" i="18"/>
  <c r="L6"/>
  <c r="L7"/>
  <c r="L8"/>
  <c r="L10"/>
  <c r="L11"/>
  <c r="L12"/>
  <c r="L13"/>
  <c r="L14"/>
  <c r="L15"/>
  <c r="K11" i="15"/>
  <c r="K26"/>
  <c r="K27"/>
  <c r="K28"/>
  <c r="K30"/>
  <c r="K9" i="24"/>
  <c r="J13"/>
  <c r="J16"/>
  <c r="J17"/>
  <c r="K18"/>
  <c r="K19"/>
  <c r="K21"/>
  <c r="K22"/>
  <c r="K31" i="15"/>
  <c r="K34"/>
  <c r="K51"/>
  <c r="K55"/>
  <c r="K57"/>
  <c r="L3"/>
  <c r="M5" i="18"/>
  <c r="M6"/>
  <c r="M7"/>
  <c r="M8"/>
  <c r="M10"/>
  <c r="M11"/>
  <c r="M12"/>
  <c r="M13"/>
  <c r="M14"/>
  <c r="M15"/>
  <c r="L11" i="15"/>
  <c r="L26"/>
  <c r="L27"/>
  <c r="L28"/>
  <c r="L30"/>
  <c r="L9" i="24"/>
  <c r="K13"/>
  <c r="K16"/>
  <c r="K17"/>
  <c r="L18"/>
  <c r="L19"/>
  <c r="L21"/>
  <c r="L22"/>
  <c r="L31" i="15"/>
  <c r="L34"/>
  <c r="L51"/>
  <c r="L55"/>
  <c r="L57"/>
  <c r="M3"/>
  <c r="N5" i="18"/>
  <c r="N6"/>
  <c r="N7"/>
  <c r="N8"/>
  <c r="N10"/>
  <c r="N11"/>
  <c r="N12"/>
  <c r="N13"/>
  <c r="N14"/>
  <c r="N15"/>
  <c r="M11" i="15"/>
  <c r="M26"/>
  <c r="M27"/>
  <c r="M28"/>
  <c r="M30"/>
  <c r="M9" i="24"/>
  <c r="L13"/>
  <c r="L16"/>
  <c r="L17"/>
  <c r="M18"/>
  <c r="M19"/>
  <c r="M21"/>
  <c r="M22"/>
  <c r="M31" i="15"/>
  <c r="M34"/>
  <c r="M51"/>
  <c r="M55"/>
  <c r="M57"/>
  <c r="N3"/>
  <c r="O55"/>
  <c r="O5" i="18"/>
  <c r="O6"/>
  <c r="O7"/>
  <c r="O8"/>
  <c r="O10"/>
  <c r="O11"/>
  <c r="O12"/>
  <c r="O13"/>
  <c r="O14"/>
  <c r="O15"/>
  <c r="N11" i="15"/>
  <c r="N26"/>
  <c r="N27"/>
  <c r="N28"/>
  <c r="N30"/>
  <c r="N9" i="24"/>
  <c r="M13"/>
  <c r="M16"/>
  <c r="M17"/>
  <c r="N18"/>
  <c r="N19"/>
  <c r="N21"/>
  <c r="N22"/>
  <c r="N31" i="15"/>
  <c r="N34"/>
  <c r="N51"/>
  <c r="N55"/>
  <c r="N57"/>
  <c r="O3"/>
  <c r="P55"/>
  <c r="R15" i="18"/>
  <c r="O11" i="15"/>
  <c r="O26"/>
  <c r="O27"/>
  <c r="O28"/>
  <c r="N13" i="24"/>
  <c r="N16"/>
  <c r="N17"/>
  <c r="S15" i="18"/>
  <c r="P11" i="15"/>
  <c r="P26"/>
  <c r="P27"/>
  <c r="P28"/>
  <c r="T15" i="18"/>
  <c r="Q11" i="15"/>
  <c r="Q26"/>
  <c r="Q27"/>
  <c r="Q28"/>
  <c r="U15" i="18"/>
  <c r="R11" i="15"/>
  <c r="R26"/>
  <c r="R27"/>
  <c r="R28"/>
  <c r="V15" i="18"/>
  <c r="S11" i="15"/>
  <c r="S26"/>
  <c r="S27"/>
  <c r="S28"/>
  <c r="W15" i="18"/>
  <c r="T11" i="15"/>
  <c r="T26"/>
  <c r="T27"/>
  <c r="T28"/>
  <c r="X15" i="18"/>
  <c r="U11" i="15"/>
  <c r="U26"/>
  <c r="U27"/>
  <c r="U28"/>
  <c r="Y15" i="18"/>
  <c r="V11" i="15"/>
  <c r="V26"/>
  <c r="V27"/>
  <c r="V28"/>
  <c r="Z15" i="18"/>
  <c r="W11" i="15"/>
  <c r="W26"/>
  <c r="W27"/>
  <c r="W28"/>
  <c r="AA15" i="18"/>
  <c r="X11" i="15"/>
  <c r="X26"/>
  <c r="X27"/>
  <c r="X28"/>
  <c r="M5" i="11"/>
  <c r="M8"/>
  <c r="M6"/>
  <c r="M7"/>
  <c r="N8"/>
  <c r="M9"/>
  <c r="N9"/>
  <c r="N11"/>
  <c r="N18"/>
  <c r="Q18"/>
  <c r="O8"/>
  <c r="O9"/>
  <c r="O11"/>
  <c r="O18"/>
  <c r="O19"/>
  <c r="Q19"/>
  <c r="P8"/>
  <c r="P9"/>
  <c r="P11"/>
  <c r="P18"/>
  <c r="P19"/>
  <c r="P20"/>
  <c r="Q20"/>
  <c r="Q8"/>
  <c r="Q9"/>
  <c r="Q11"/>
  <c r="Q22"/>
  <c r="Q24"/>
  <c r="E4" i="19"/>
  <c r="G4"/>
  <c r="R18" i="11"/>
  <c r="R19"/>
  <c r="R20"/>
  <c r="R8"/>
  <c r="R9"/>
  <c r="R11"/>
  <c r="R22"/>
  <c r="R24"/>
  <c r="E5" i="19"/>
  <c r="G5"/>
  <c r="S18" i="11"/>
  <c r="S19"/>
  <c r="S20"/>
  <c r="S8"/>
  <c r="S9"/>
  <c r="S11"/>
  <c r="S22"/>
  <c r="S24"/>
  <c r="E6" i="19"/>
  <c r="G6"/>
  <c r="T18" i="11"/>
  <c r="T19"/>
  <c r="T20"/>
  <c r="T8"/>
  <c r="T9"/>
  <c r="T11"/>
  <c r="T22"/>
  <c r="T24"/>
  <c r="E7" i="19"/>
  <c r="G7"/>
  <c r="G9"/>
  <c r="J9"/>
  <c r="J18"/>
  <c r="F10" i="26"/>
  <c r="G11"/>
  <c r="H11"/>
  <c r="I11"/>
  <c r="G12"/>
  <c r="H12"/>
  <c r="I12"/>
  <c r="G13"/>
  <c r="H13"/>
  <c r="I13"/>
  <c r="G14"/>
  <c r="H14"/>
  <c r="I14"/>
  <c r="G15"/>
  <c r="H15"/>
  <c r="I15"/>
  <c r="I16"/>
  <c r="G18" i="19"/>
  <c r="F3" i="26"/>
  <c r="G4"/>
  <c r="H4"/>
  <c r="I4"/>
  <c r="G5"/>
  <c r="H5"/>
  <c r="I5"/>
  <c r="G6"/>
  <c r="H6"/>
  <c r="I6"/>
  <c r="G7"/>
  <c r="H7"/>
  <c r="I7"/>
  <c r="I8"/>
  <c r="I17"/>
  <c r="P5" i="18"/>
  <c r="P8"/>
  <c r="D5" i="11"/>
  <c r="D6"/>
  <c r="D7"/>
  <c r="P6" i="18"/>
  <c r="P7"/>
  <c r="P10"/>
  <c r="P11"/>
  <c r="P12"/>
  <c r="P13"/>
  <c r="P14"/>
  <c r="P15"/>
  <c r="B5" i="11"/>
  <c r="B8"/>
  <c r="B6"/>
  <c r="B7"/>
  <c r="D8"/>
  <c r="B9"/>
  <c r="D9"/>
  <c r="D11"/>
  <c r="D18"/>
  <c r="G18"/>
  <c r="E5"/>
  <c r="E6"/>
  <c r="E7"/>
  <c r="E8"/>
  <c r="E9"/>
  <c r="E11"/>
  <c r="E18"/>
  <c r="E19"/>
  <c r="G19"/>
  <c r="F5"/>
  <c r="F6"/>
  <c r="F7"/>
  <c r="F8"/>
  <c r="F9"/>
  <c r="F11"/>
  <c r="F18"/>
  <c r="F19"/>
  <c r="F20"/>
  <c r="G20"/>
  <c r="G5"/>
  <c r="G6"/>
  <c r="G7"/>
  <c r="G8"/>
  <c r="G9"/>
  <c r="G11"/>
  <c r="G22"/>
  <c r="G24"/>
  <c r="B4" i="19"/>
  <c r="D4"/>
  <c r="H18" i="11"/>
  <c r="H19"/>
  <c r="H20"/>
  <c r="H5"/>
  <c r="H6"/>
  <c r="H7"/>
  <c r="H8"/>
  <c r="H9"/>
  <c r="H11"/>
  <c r="H22"/>
  <c r="H24"/>
  <c r="B5" i="19"/>
  <c r="D5"/>
  <c r="I18" i="11"/>
  <c r="I19"/>
  <c r="I20"/>
  <c r="I5"/>
  <c r="I6"/>
  <c r="I7"/>
  <c r="I8"/>
  <c r="I9"/>
  <c r="I11"/>
  <c r="I22"/>
  <c r="I24"/>
  <c r="B6" i="19"/>
  <c r="D6"/>
  <c r="J18" i="11"/>
  <c r="J19"/>
  <c r="J20"/>
  <c r="J5"/>
  <c r="J6"/>
  <c r="J7"/>
  <c r="J8"/>
  <c r="J9"/>
  <c r="J11"/>
  <c r="J22"/>
  <c r="J24"/>
  <c r="B7" i="19"/>
  <c r="D7"/>
  <c r="D9"/>
  <c r="D18"/>
  <c r="B3" i="26"/>
  <c r="C4"/>
  <c r="D4"/>
  <c r="E4"/>
  <c r="C5"/>
  <c r="D5"/>
  <c r="E5"/>
  <c r="C6"/>
  <c r="D6"/>
  <c r="E6"/>
  <c r="C7"/>
  <c r="D7"/>
  <c r="E7"/>
  <c r="E8"/>
  <c r="E17"/>
  <c r="I19"/>
  <c r="D9" i="6"/>
  <c r="D14"/>
  <c r="D15"/>
  <c r="D34"/>
  <c r="D69" i="7"/>
  <c r="D71"/>
  <c r="B23" i="17"/>
  <c r="B24"/>
  <c r="H25" i="8"/>
  <c r="B25" i="17"/>
  <c r="B26"/>
  <c r="F31" i="9"/>
  <c r="B32" i="17"/>
  <c r="B28"/>
  <c r="AB15" i="18"/>
  <c r="AC15"/>
  <c r="B30" i="17"/>
  <c r="Z11" i="15"/>
  <c r="AA26"/>
  <c r="F32" i="9"/>
  <c r="B33" i="17"/>
  <c r="B34"/>
  <c r="B29"/>
  <c r="B35"/>
  <c r="B36"/>
  <c r="B31"/>
  <c r="B21"/>
  <c r="C11" i="7"/>
  <c r="G11" i="22"/>
  <c r="G9"/>
  <c r="D36" i="6"/>
  <c r="G8" i="22"/>
  <c r="G15"/>
  <c r="G14"/>
  <c r="G13"/>
  <c r="N20" i="24"/>
  <c r="N10"/>
  <c r="AA31" i="15"/>
  <c r="AB31"/>
  <c r="AA7" i="24"/>
  <c r="AB7"/>
  <c r="I6"/>
  <c r="AA4"/>
  <c r="AB4"/>
  <c r="AA5"/>
  <c r="AB5"/>
  <c r="AB8"/>
  <c r="E4"/>
  <c r="G4"/>
  <c r="AA16"/>
  <c r="AA17"/>
  <c r="AB18"/>
  <c r="AB16"/>
  <c r="AB17"/>
  <c r="AA30" i="15"/>
  <c r="AB30"/>
  <c r="AA9"/>
  <c r="J9"/>
  <c r="P9"/>
  <c r="Q9"/>
  <c r="R9"/>
  <c r="S9"/>
  <c r="T9"/>
  <c r="U9"/>
  <c r="V9"/>
  <c r="W9"/>
  <c r="X9"/>
  <c r="Y9"/>
  <c r="Z9"/>
  <c r="O9"/>
  <c r="P7"/>
  <c r="Q7"/>
  <c r="R7"/>
  <c r="S7"/>
  <c r="T7"/>
  <c r="U7"/>
  <c r="V7"/>
  <c r="W7"/>
  <c r="X7"/>
  <c r="Y7"/>
  <c r="Z7"/>
  <c r="AA7"/>
  <c r="AB7"/>
  <c r="P6"/>
  <c r="Q6"/>
  <c r="R6"/>
  <c r="S6"/>
  <c r="T6"/>
  <c r="U6"/>
  <c r="V6"/>
  <c r="W6"/>
  <c r="X6"/>
  <c r="Y6"/>
  <c r="Z6"/>
  <c r="AA6"/>
  <c r="AB6"/>
  <c r="O46"/>
  <c r="P46"/>
  <c r="Q46"/>
  <c r="R46"/>
  <c r="S46"/>
  <c r="T46"/>
  <c r="U46"/>
  <c r="V46"/>
  <c r="W46"/>
  <c r="X46"/>
  <c r="Y46"/>
  <c r="Z46"/>
  <c r="N46"/>
  <c r="O40"/>
  <c r="P40"/>
  <c r="Q40"/>
  <c r="R40"/>
  <c r="S40"/>
  <c r="T40"/>
  <c r="U40"/>
  <c r="V40"/>
  <c r="W40"/>
  <c r="X40"/>
  <c r="Y40"/>
  <c r="Z40"/>
  <c r="Y11"/>
  <c r="Y26"/>
  <c r="Y27"/>
  <c r="Y28"/>
  <c r="Z26"/>
  <c r="Z27"/>
  <c r="Z28"/>
  <c r="P29"/>
  <c r="Q29"/>
  <c r="R29"/>
  <c r="S29"/>
  <c r="T29"/>
  <c r="U29"/>
  <c r="V29"/>
  <c r="W29"/>
  <c r="X29"/>
  <c r="Y29"/>
  <c r="Z29"/>
  <c r="O29"/>
  <c r="N9"/>
  <c r="O48"/>
  <c r="P48"/>
  <c r="Q48"/>
  <c r="R48"/>
  <c r="S48"/>
  <c r="T48"/>
  <c r="U48"/>
  <c r="V48"/>
  <c r="W48"/>
  <c r="X48"/>
  <c r="Y48"/>
  <c r="Z48"/>
  <c r="O49"/>
  <c r="P49"/>
  <c r="Q49"/>
  <c r="R49"/>
  <c r="S49"/>
  <c r="T49"/>
  <c r="U49"/>
  <c r="V49"/>
  <c r="W49"/>
  <c r="X49"/>
  <c r="Y49"/>
  <c r="Z49"/>
  <c r="N48"/>
  <c r="N49"/>
  <c r="O56"/>
  <c r="P56"/>
  <c r="Q56"/>
  <c r="R56"/>
  <c r="S56"/>
  <c r="T56"/>
  <c r="U56"/>
  <c r="V56"/>
  <c r="W56"/>
  <c r="X56"/>
  <c r="Y56"/>
  <c r="Z56"/>
  <c r="AA5"/>
  <c r="AB5"/>
  <c r="AA4"/>
  <c r="AB4"/>
  <c r="AB3"/>
  <c r="C55" i="7"/>
  <c r="C58"/>
  <c r="C10"/>
  <c r="C13"/>
  <c r="C9"/>
  <c r="C27"/>
  <c r="C34"/>
  <c r="C35"/>
  <c r="C49"/>
  <c r="C65"/>
  <c r="E19" i="26"/>
  <c r="C9" i="6"/>
  <c r="C14"/>
  <c r="C15"/>
  <c r="C34"/>
  <c r="C66" i="7"/>
  <c r="C12" i="25"/>
  <c r="C8"/>
  <c r="C14"/>
  <c r="F10" i="22"/>
  <c r="H28" i="8"/>
  <c r="H42"/>
  <c r="H51"/>
  <c r="H36"/>
  <c r="D25"/>
  <c r="E25"/>
  <c r="F25"/>
  <c r="G25"/>
  <c r="F19"/>
  <c r="G19"/>
  <c r="H19"/>
  <c r="G15"/>
  <c r="F15"/>
  <c r="F12"/>
  <c r="G12"/>
  <c r="D54" i="7"/>
  <c r="F9" i="9"/>
  <c r="F17"/>
  <c r="F36"/>
  <c r="F30"/>
  <c r="F37"/>
  <c r="F44"/>
  <c r="F42"/>
  <c r="D27"/>
  <c r="F22"/>
  <c r="C69" i="7"/>
  <c r="C71"/>
  <c r="D9" i="9"/>
  <c r="D7"/>
  <c r="D73" i="7"/>
  <c r="D68"/>
  <c r="D64"/>
  <c r="D47"/>
  <c r="D42"/>
  <c r="D43"/>
  <c r="D14"/>
  <c r="D15"/>
  <c r="D16"/>
  <c r="D17"/>
  <c r="D18"/>
  <c r="D19"/>
  <c r="D20"/>
  <c r="D21"/>
  <c r="D22"/>
  <c r="D23"/>
  <c r="D24"/>
  <c r="D25"/>
  <c r="D26"/>
  <c r="D32" i="6"/>
  <c r="D25"/>
  <c r="D7"/>
  <c r="F4" i="26"/>
  <c r="F7"/>
  <c r="F6"/>
  <c r="F5"/>
  <c r="I18" i="19"/>
  <c r="F12" i="26"/>
  <c r="F13"/>
  <c r="F14"/>
  <c r="F15"/>
  <c r="F11"/>
  <c r="O7" i="15"/>
  <c r="O6"/>
  <c r="O5"/>
  <c r="P5"/>
  <c r="Q5"/>
  <c r="R5"/>
  <c r="S5"/>
  <c r="T5"/>
  <c r="U5"/>
  <c r="V5"/>
  <c r="W5"/>
  <c r="X5"/>
  <c r="Y5"/>
  <c r="Z5"/>
  <c r="O4"/>
  <c r="P4"/>
  <c r="Q4"/>
  <c r="R4"/>
  <c r="S4"/>
  <c r="T4"/>
  <c r="U4"/>
  <c r="V4"/>
  <c r="W4"/>
  <c r="X4"/>
  <c r="Y4"/>
  <c r="Z4"/>
  <c r="C7" i="24"/>
  <c r="D8"/>
  <c r="C8"/>
  <c r="C9"/>
  <c r="C15"/>
  <c r="D7"/>
  <c r="E8"/>
  <c r="D14"/>
  <c r="E7"/>
  <c r="F8"/>
  <c r="E14"/>
  <c r="F7"/>
  <c r="G8"/>
  <c r="F14"/>
  <c r="G7"/>
  <c r="H8"/>
  <c r="G14"/>
  <c r="H7"/>
  <c r="I8"/>
  <c r="H14"/>
  <c r="I7"/>
  <c r="J8"/>
  <c r="I14"/>
  <c r="J7"/>
  <c r="K8"/>
  <c r="J14"/>
  <c r="K7"/>
  <c r="L8"/>
  <c r="K14"/>
  <c r="L7"/>
  <c r="M8"/>
  <c r="L14"/>
  <c r="M7"/>
  <c r="N8"/>
  <c r="M14"/>
  <c r="N14"/>
  <c r="J21" i="19"/>
  <c r="J20"/>
  <c r="J17"/>
  <c r="J14"/>
  <c r="J15"/>
  <c r="J16"/>
  <c r="J13"/>
  <c r="I14"/>
  <c r="I15"/>
  <c r="I13"/>
  <c r="H14"/>
  <c r="H15"/>
  <c r="H16"/>
  <c r="H13"/>
  <c r="J5"/>
  <c r="J6"/>
  <c r="J7"/>
  <c r="J8"/>
  <c r="J10"/>
  <c r="J4"/>
  <c r="I5"/>
  <c r="I6"/>
  <c r="I7"/>
  <c r="I8"/>
  <c r="I4"/>
  <c r="H5"/>
  <c r="H6"/>
  <c r="H7"/>
  <c r="H8"/>
  <c r="H4"/>
  <c r="G21"/>
  <c r="G20"/>
  <c r="F18"/>
  <c r="G17"/>
  <c r="G14"/>
  <c r="G15"/>
  <c r="G13"/>
  <c r="F14"/>
  <c r="F15"/>
  <c r="F13"/>
  <c r="E14"/>
  <c r="E15"/>
  <c r="E16"/>
  <c r="E13"/>
  <c r="G10"/>
  <c r="G8"/>
  <c r="F5"/>
  <c r="F6"/>
  <c r="F7"/>
  <c r="F8"/>
  <c r="F4"/>
  <c r="U22" i="11"/>
  <c r="U20"/>
  <c r="Q16"/>
  <c r="R16"/>
  <c r="S16"/>
  <c r="T16"/>
  <c r="U19"/>
  <c r="L20"/>
  <c r="L19"/>
  <c r="U18"/>
  <c r="U16"/>
  <c r="O16"/>
  <c r="P16"/>
  <c r="N16"/>
  <c r="M15"/>
  <c r="M16"/>
  <c r="M14"/>
  <c r="U13"/>
  <c r="O13"/>
  <c r="P13"/>
  <c r="N13"/>
  <c r="U11"/>
  <c r="U10"/>
  <c r="T10"/>
  <c r="S10"/>
  <c r="R10"/>
  <c r="Q10"/>
  <c r="P10"/>
  <c r="O10"/>
  <c r="N10"/>
  <c r="E10"/>
  <c r="U9"/>
  <c r="U8"/>
  <c r="M11"/>
  <c r="M10"/>
  <c r="U7"/>
  <c r="O7"/>
  <c r="P7"/>
  <c r="Q7"/>
  <c r="R7"/>
  <c r="S7"/>
  <c r="T7"/>
  <c r="N7"/>
  <c r="U6"/>
  <c r="N6"/>
  <c r="O6"/>
  <c r="P6"/>
  <c r="Q6"/>
  <c r="R6"/>
  <c r="S6"/>
  <c r="T6"/>
  <c r="U5"/>
  <c r="T5"/>
  <c r="S5"/>
  <c r="R5"/>
  <c r="Q5"/>
  <c r="P5"/>
  <c r="O5"/>
  <c r="N5"/>
  <c r="V22" i="10"/>
  <c r="V24"/>
  <c r="V23"/>
  <c r="V7"/>
  <c r="V8"/>
  <c r="V9"/>
  <c r="V10"/>
  <c r="V11"/>
  <c r="V12"/>
  <c r="V13"/>
  <c r="V14"/>
  <c r="V15"/>
  <c r="V16"/>
  <c r="V17"/>
  <c r="V18"/>
  <c r="V19"/>
  <c r="V20"/>
  <c r="V21"/>
  <c r="V6"/>
  <c r="U20"/>
  <c r="U19"/>
  <c r="U18"/>
  <c r="U14"/>
  <c r="U17"/>
  <c r="U16"/>
  <c r="U15"/>
  <c r="U13"/>
  <c r="U12"/>
  <c r="R20"/>
  <c r="R19"/>
  <c r="R18"/>
  <c r="R16"/>
  <c r="R15"/>
  <c r="R14"/>
  <c r="R13"/>
  <c r="R12"/>
  <c r="Q21"/>
  <c r="R21"/>
  <c r="S21"/>
  <c r="U21"/>
  <c r="P21"/>
  <c r="M35"/>
  <c r="M34"/>
  <c r="O32"/>
  <c r="N32"/>
  <c r="O31"/>
  <c r="N31"/>
  <c r="U25"/>
  <c r="R25"/>
  <c r="V25"/>
  <c r="M28"/>
  <c r="P24"/>
  <c r="S24"/>
  <c r="M27"/>
  <c r="L25"/>
  <c r="O25"/>
  <c r="R22"/>
  <c r="T22"/>
  <c r="U22"/>
  <c r="Q22"/>
  <c r="M24"/>
  <c r="O23"/>
  <c r="N23"/>
  <c r="O22"/>
  <c r="N22"/>
  <c r="S20"/>
  <c r="T10"/>
  <c r="H16"/>
  <c r="K16"/>
  <c r="L16"/>
  <c r="H15"/>
  <c r="K15"/>
  <c r="L15"/>
  <c r="H13"/>
  <c r="K13"/>
  <c r="L13"/>
  <c r="H11"/>
  <c r="R11"/>
  <c r="T11"/>
  <c r="K11"/>
  <c r="U11"/>
  <c r="L11"/>
  <c r="Q11"/>
  <c r="K7"/>
  <c r="U7"/>
  <c r="H7"/>
  <c r="R7"/>
  <c r="K8"/>
  <c r="U8"/>
  <c r="H8"/>
  <c r="R8"/>
  <c r="K9"/>
  <c r="U9"/>
  <c r="H9"/>
  <c r="R9"/>
  <c r="K6"/>
  <c r="H6"/>
  <c r="R6"/>
  <c r="T7"/>
  <c r="T8"/>
  <c r="T9"/>
  <c r="T6"/>
  <c r="Q7"/>
  <c r="Q8"/>
  <c r="Q9"/>
  <c r="Q6"/>
  <c r="P20"/>
  <c r="Q17"/>
  <c r="R17"/>
  <c r="S17"/>
  <c r="T17"/>
  <c r="P17"/>
  <c r="S14"/>
  <c r="S12"/>
  <c r="P13"/>
  <c r="P14"/>
  <c r="Q10"/>
  <c r="R10"/>
  <c r="S10"/>
  <c r="U10"/>
  <c r="L7"/>
  <c r="P12"/>
  <c r="P10"/>
  <c r="E5" i="15"/>
  <c r="F5"/>
  <c r="G5"/>
  <c r="H5"/>
  <c r="I5"/>
  <c r="J5"/>
  <c r="K5"/>
  <c r="L5"/>
  <c r="M5"/>
  <c r="N5"/>
  <c r="D5"/>
  <c r="E4"/>
  <c r="F4"/>
  <c r="G4"/>
  <c r="H4"/>
  <c r="F9" i="23"/>
  <c r="F10"/>
  <c r="I4" i="15"/>
  <c r="G11" i="23"/>
  <c r="J4" i="15"/>
  <c r="H10" i="23"/>
  <c r="K4" i="15"/>
  <c r="I11" i="23"/>
  <c r="L4" i="15"/>
  <c r="J10" i="23"/>
  <c r="M4" i="15"/>
  <c r="K11" i="23"/>
  <c r="N4" i="15"/>
  <c r="A4" i="23"/>
  <c r="A6"/>
  <c r="D4" i="15"/>
  <c r="D29"/>
  <c r="E29"/>
  <c r="F29"/>
  <c r="G29"/>
  <c r="H29"/>
  <c r="I29"/>
  <c r="J29"/>
  <c r="K29"/>
  <c r="L29"/>
  <c r="M29"/>
  <c r="N29"/>
  <c r="C47" i="7"/>
  <c r="G40" i="23"/>
  <c r="C24" i="10"/>
  <c r="F24"/>
  <c r="I24"/>
  <c r="C27"/>
  <c r="I40" i="23"/>
  <c r="F39"/>
  <c r="F80"/>
  <c r="K40"/>
  <c r="G81"/>
  <c r="H39"/>
  <c r="H80"/>
  <c r="I81"/>
  <c r="J39"/>
  <c r="J80"/>
  <c r="K81"/>
  <c r="B11" i="17"/>
  <c r="D30" i="9"/>
  <c r="B12" i="17"/>
  <c r="C7" i="6"/>
  <c r="L6" i="10"/>
  <c r="L9"/>
  <c r="E22"/>
  <c r="H22"/>
  <c r="K22"/>
  <c r="L22"/>
  <c r="E23"/>
  <c r="L23"/>
  <c r="E31"/>
  <c r="E32"/>
  <c r="C35"/>
  <c r="D10" i="11"/>
  <c r="L8" i="10"/>
  <c r="F10" i="11"/>
  <c r="G10"/>
  <c r="H10"/>
  <c r="I10"/>
  <c r="H18" i="10"/>
  <c r="K18"/>
  <c r="L18"/>
  <c r="H19"/>
  <c r="K19"/>
  <c r="L19"/>
  <c r="J10" i="11"/>
  <c r="B4" i="26"/>
  <c r="B5"/>
  <c r="B6"/>
  <c r="B7"/>
  <c r="E16"/>
  <c r="E6" i="15"/>
  <c r="F7"/>
  <c r="C42"/>
  <c r="C44"/>
  <c r="C45"/>
  <c r="C48"/>
  <c r="C49"/>
  <c r="E9"/>
  <c r="G6"/>
  <c r="H7"/>
  <c r="I6"/>
  <c r="J7"/>
  <c r="K9"/>
  <c r="L9"/>
  <c r="B10"/>
  <c r="C12" i="7"/>
  <c r="C48"/>
  <c r="E25" i="10"/>
  <c r="H21"/>
  <c r="H25"/>
  <c r="K25"/>
  <c r="C28"/>
  <c r="C43" i="7"/>
  <c r="C42"/>
  <c r="D31" i="9"/>
  <c r="B13" i="17"/>
  <c r="B15"/>
  <c r="B9"/>
  <c r="D32" i="9"/>
  <c r="B14" i="17"/>
  <c r="B16"/>
  <c r="F19" i="22"/>
  <c r="B4" i="17"/>
  <c r="C15" i="8"/>
  <c r="D15"/>
  <c r="E15"/>
  <c r="E12"/>
  <c r="C6"/>
  <c r="C7"/>
  <c r="C5"/>
  <c r="D6"/>
  <c r="D7"/>
  <c r="D5"/>
  <c r="E5"/>
  <c r="B6" i="17"/>
  <c r="B5"/>
  <c r="B7"/>
  <c r="F18" i="22"/>
  <c r="E36" i="8"/>
  <c r="E34"/>
  <c r="M9" i="15"/>
  <c r="E41" i="8"/>
  <c r="E30"/>
  <c r="E28"/>
  <c r="E42"/>
  <c r="E51"/>
  <c r="F17" i="22"/>
  <c r="D17" i="9"/>
  <c r="D34"/>
  <c r="D36"/>
  <c r="D37"/>
  <c r="D44"/>
  <c r="F16" i="22"/>
  <c r="F14"/>
  <c r="F15"/>
  <c r="F13"/>
  <c r="F12"/>
  <c r="F11"/>
  <c r="F9"/>
  <c r="C36" i="6"/>
  <c r="F8" i="22"/>
  <c r="G6"/>
  <c r="G5"/>
  <c r="F5"/>
  <c r="G4"/>
  <c r="G3"/>
  <c r="F3"/>
  <c r="C15" i="25"/>
  <c r="B38" i="15"/>
  <c r="C38"/>
  <c r="B46"/>
  <c r="C46"/>
  <c r="D46"/>
  <c r="E46"/>
  <c r="F46"/>
  <c r="G46"/>
  <c r="H46"/>
  <c r="I46"/>
  <c r="J46"/>
  <c r="K46"/>
  <c r="L46"/>
  <c r="M46"/>
  <c r="B9" i="23"/>
  <c r="B10"/>
  <c r="B11"/>
  <c r="E6"/>
  <c r="D20" i="19"/>
  <c r="D21"/>
  <c r="A2" i="23"/>
  <c r="J8"/>
  <c r="G12"/>
  <c r="I13"/>
  <c r="J14"/>
  <c r="H15"/>
  <c r="J16"/>
  <c r="I18"/>
  <c r="I19"/>
  <c r="J20"/>
  <c r="J21"/>
  <c r="J22"/>
  <c r="B13" i="19"/>
  <c r="D13"/>
  <c r="B14"/>
  <c r="D14"/>
  <c r="B15"/>
  <c r="D15"/>
  <c r="D17"/>
  <c r="B9" i="15"/>
  <c r="D3" i="23"/>
  <c r="D4"/>
  <c r="D39"/>
  <c r="E7"/>
  <c r="E39"/>
  <c r="F4"/>
  <c r="G7"/>
  <c r="G13"/>
  <c r="G39"/>
  <c r="H4"/>
  <c r="H16"/>
  <c r="I7"/>
  <c r="I39"/>
  <c r="K13"/>
  <c r="K19"/>
  <c r="K24"/>
  <c r="K25"/>
  <c r="K39"/>
  <c r="L16"/>
  <c r="L22"/>
  <c r="L27"/>
  <c r="L28"/>
  <c r="L39"/>
  <c r="M19"/>
  <c r="M25"/>
  <c r="M30"/>
  <c r="M31"/>
  <c r="M39"/>
  <c r="N22"/>
  <c r="N28"/>
  <c r="N33"/>
  <c r="N34"/>
  <c r="N39"/>
  <c r="O25"/>
  <c r="O31"/>
  <c r="O36"/>
  <c r="O37"/>
  <c r="O39"/>
  <c r="B8" i="19"/>
  <c r="D8"/>
  <c r="C56" i="15"/>
  <c r="D56"/>
  <c r="E56"/>
  <c r="F56"/>
  <c r="G56"/>
  <c r="H56"/>
  <c r="I56"/>
  <c r="J56"/>
  <c r="K56"/>
  <c r="L56"/>
  <c r="M56"/>
  <c r="N56"/>
  <c r="C54" i="7"/>
  <c r="D55" i="15"/>
  <c r="C7"/>
  <c r="B27"/>
  <c r="B28"/>
  <c r="B37"/>
  <c r="C37"/>
  <c r="C40"/>
  <c r="D80" i="23"/>
  <c r="C6" i="15"/>
  <c r="D7"/>
  <c r="B26"/>
  <c r="D48"/>
  <c r="D49"/>
  <c r="B55"/>
  <c r="E80" i="23"/>
  <c r="D6" i="15"/>
  <c r="E7"/>
  <c r="E10"/>
  <c r="E5" i="23"/>
  <c r="E40"/>
  <c r="E81"/>
  <c r="E48" i="15"/>
  <c r="E49"/>
  <c r="F9"/>
  <c r="F10"/>
  <c r="F8" i="23"/>
  <c r="F40"/>
  <c r="F48" i="15"/>
  <c r="F49"/>
  <c r="G80" i="23"/>
  <c r="F6" i="15"/>
  <c r="G7"/>
  <c r="G9"/>
  <c r="G10"/>
  <c r="G5" i="23"/>
  <c r="G48" i="15"/>
  <c r="G49"/>
  <c r="H9"/>
  <c r="H10"/>
  <c r="H8" i="23"/>
  <c r="H14"/>
  <c r="H40"/>
  <c r="H48" i="15"/>
  <c r="H49"/>
  <c r="I80" i="23"/>
  <c r="H6" i="15"/>
  <c r="I7"/>
  <c r="I9"/>
  <c r="I10"/>
  <c r="I5" i="23"/>
  <c r="I17"/>
  <c r="I48" i="15"/>
  <c r="I49"/>
  <c r="J10"/>
  <c r="J40" i="23"/>
  <c r="F81"/>
  <c r="J48" i="15"/>
  <c r="J49"/>
  <c r="K80" i="23"/>
  <c r="J6" i="15"/>
  <c r="K7"/>
  <c r="K10"/>
  <c r="K17" i="23"/>
  <c r="K23"/>
  <c r="K48" i="15"/>
  <c r="K49"/>
  <c r="L80" i="23"/>
  <c r="K6" i="15"/>
  <c r="L7"/>
  <c r="L10"/>
  <c r="L14" i="23"/>
  <c r="L20"/>
  <c r="L26"/>
  <c r="L40"/>
  <c r="H81"/>
  <c r="L48" i="15"/>
  <c r="L49"/>
  <c r="M17" i="23"/>
  <c r="M23"/>
  <c r="M29"/>
  <c r="M40"/>
  <c r="N20"/>
  <c r="N26"/>
  <c r="N32"/>
  <c r="N40"/>
  <c r="M80"/>
  <c r="L6" i="15"/>
  <c r="M7"/>
  <c r="M10"/>
  <c r="M48"/>
  <c r="M49"/>
  <c r="N80" i="23"/>
  <c r="M6" i="15"/>
  <c r="N7"/>
  <c r="N10"/>
  <c r="J81" i="23"/>
  <c r="C6" i="25"/>
  <c r="C4" i="9"/>
  <c r="D4"/>
  <c r="C5" i="25"/>
  <c r="E35" i="8"/>
  <c r="C4" i="25"/>
  <c r="C13"/>
  <c r="C11"/>
  <c r="C23"/>
  <c r="C22"/>
  <c r="C16"/>
  <c r="C17"/>
  <c r="C21"/>
  <c r="C20"/>
  <c r="C10"/>
  <c r="C9"/>
  <c r="D3" i="21"/>
  <c r="D6"/>
  <c r="D8"/>
  <c r="C34" i="10"/>
  <c r="B3" i="21"/>
  <c r="B4"/>
  <c r="B10" i="17"/>
  <c r="E8"/>
  <c r="B5" i="21"/>
  <c r="B8"/>
  <c r="E6" i="17"/>
  <c r="E14"/>
  <c r="E2"/>
  <c r="E4"/>
  <c r="E3"/>
  <c r="E10"/>
  <c r="E11"/>
  <c r="E13"/>
  <c r="E16"/>
  <c r="E15"/>
  <c r="E12"/>
  <c r="E9"/>
  <c r="E7"/>
  <c r="B3"/>
  <c r="B17"/>
  <c r="D12" i="8"/>
  <c r="C12"/>
  <c r="C25"/>
  <c r="D19"/>
  <c r="E19"/>
  <c r="C19"/>
  <c r="E6"/>
  <c r="E7"/>
  <c r="D42" i="9"/>
  <c r="D22"/>
  <c r="C73" i="7"/>
  <c r="C68"/>
  <c r="C32" i="6"/>
  <c r="C25"/>
  <c r="C64" i="7"/>
  <c r="D40" i="15"/>
  <c r="E40"/>
  <c r="F40"/>
  <c r="G40"/>
  <c r="H40"/>
  <c r="I40"/>
  <c r="J40"/>
  <c r="K40"/>
  <c r="L40"/>
  <c r="M40"/>
  <c r="N40"/>
  <c r="C29"/>
  <c r="O80" i="23"/>
  <c r="N6" i="15"/>
  <c r="E5" i="24"/>
  <c r="D4"/>
  <c r="D5"/>
  <c r="C4"/>
  <c r="C5"/>
  <c r="C6"/>
  <c r="D6"/>
  <c r="E6"/>
  <c r="F4"/>
  <c r="F5"/>
  <c r="F6"/>
  <c r="G5"/>
  <c r="G6"/>
  <c r="H4"/>
  <c r="H5"/>
  <c r="H6"/>
  <c r="I4"/>
  <c r="I5"/>
  <c r="J4"/>
  <c r="J5"/>
  <c r="J6"/>
  <c r="K4"/>
  <c r="K5"/>
  <c r="K6"/>
  <c r="L4"/>
  <c r="L5"/>
  <c r="L6"/>
  <c r="M4"/>
  <c r="M5"/>
  <c r="M6"/>
  <c r="N4"/>
  <c r="N5"/>
  <c r="N6"/>
  <c r="O23" i="23"/>
  <c r="O29"/>
  <c r="O35"/>
  <c r="O40"/>
  <c r="N7" i="24"/>
  <c r="B10" i="11"/>
  <c r="AC13" i="18"/>
  <c r="AB13"/>
  <c r="AA13"/>
  <c r="Z13"/>
  <c r="Y13"/>
  <c r="X13"/>
  <c r="W13"/>
  <c r="V13"/>
  <c r="U13"/>
  <c r="T13"/>
  <c r="S13"/>
  <c r="R13"/>
  <c r="AD13"/>
  <c r="AC12"/>
  <c r="AB12"/>
  <c r="AA12"/>
  <c r="Z12"/>
  <c r="Y12"/>
  <c r="X12"/>
  <c r="W12"/>
  <c r="V12"/>
  <c r="U12"/>
  <c r="T12"/>
  <c r="S12"/>
  <c r="R12"/>
  <c r="AD12"/>
  <c r="AC11"/>
  <c r="AB11"/>
  <c r="AA11"/>
  <c r="Z11"/>
  <c r="Y11"/>
  <c r="X11"/>
  <c r="W11"/>
  <c r="V11"/>
  <c r="U11"/>
  <c r="T11"/>
  <c r="S11"/>
  <c r="R11"/>
  <c r="AD11"/>
  <c r="AC10"/>
  <c r="AB10"/>
  <c r="AA10"/>
  <c r="Z10"/>
  <c r="Y10"/>
  <c r="X10"/>
  <c r="W10"/>
  <c r="V10"/>
  <c r="U10"/>
  <c r="T10"/>
  <c r="S10"/>
  <c r="R10"/>
  <c r="AD10"/>
  <c r="AC9"/>
  <c r="AB9"/>
  <c r="AA9"/>
  <c r="Z9"/>
  <c r="Y9"/>
  <c r="X9"/>
  <c r="W9"/>
  <c r="V9"/>
  <c r="U9"/>
  <c r="T9"/>
  <c r="S9"/>
  <c r="R9"/>
  <c r="AD9"/>
  <c r="AC8"/>
  <c r="AB8"/>
  <c r="AA8"/>
  <c r="Z8"/>
  <c r="Y8"/>
  <c r="X8"/>
  <c r="W8"/>
  <c r="V8"/>
  <c r="U8"/>
  <c r="T8"/>
  <c r="S8"/>
  <c r="R8"/>
  <c r="AD8"/>
  <c r="AC7"/>
  <c r="AB7"/>
  <c r="AA7"/>
  <c r="Z7"/>
  <c r="Y7"/>
  <c r="X7"/>
  <c r="W7"/>
  <c r="V7"/>
  <c r="U7"/>
  <c r="T7"/>
  <c r="S7"/>
  <c r="R7"/>
  <c r="AD7"/>
  <c r="AC6"/>
  <c r="AB6"/>
  <c r="AA6"/>
  <c r="Z6"/>
  <c r="Y6"/>
  <c r="X6"/>
  <c r="W6"/>
  <c r="V6"/>
  <c r="U6"/>
  <c r="T6"/>
  <c r="S6"/>
  <c r="R6"/>
  <c r="AD6"/>
  <c r="AC5"/>
  <c r="AB5"/>
  <c r="AA5"/>
  <c r="Z5"/>
  <c r="Y5"/>
  <c r="X5"/>
  <c r="W5"/>
  <c r="V5"/>
  <c r="U5"/>
  <c r="T5"/>
  <c r="S5"/>
  <c r="R5"/>
  <c r="AD5"/>
  <c r="B7" i="15"/>
  <c r="P42" i="23"/>
  <c r="R48"/>
  <c r="U57"/>
  <c r="T54"/>
  <c r="W63"/>
  <c r="V60"/>
  <c r="X66"/>
  <c r="Y69"/>
  <c r="Z72"/>
  <c r="AA75"/>
  <c r="Q45"/>
  <c r="S51"/>
  <c r="P3"/>
  <c r="Q6"/>
  <c r="S12"/>
  <c r="U18"/>
  <c r="R9"/>
  <c r="T15"/>
  <c r="V21"/>
  <c r="X27"/>
  <c r="Z33"/>
  <c r="W24"/>
  <c r="Y30"/>
  <c r="AA36"/>
  <c r="B16" i="19"/>
  <c r="F78" i="23"/>
  <c r="G78"/>
  <c r="H78"/>
  <c r="I78"/>
  <c r="J78"/>
  <c r="K78"/>
  <c r="L78"/>
  <c r="M78"/>
  <c r="N78"/>
  <c r="O78"/>
  <c r="E78"/>
  <c r="AB70"/>
  <c r="AC71"/>
  <c r="AH83"/>
  <c r="AD76"/>
  <c r="AG78"/>
  <c r="AG84"/>
  <c r="AH78"/>
  <c r="AH84"/>
  <c r="B23" i="15"/>
  <c r="B14" i="11"/>
  <c r="B16"/>
  <c r="AE77" i="23"/>
  <c r="AH77"/>
  <c r="AH79"/>
  <c r="AH40"/>
  <c r="AH81"/>
  <c r="E79"/>
  <c r="F79"/>
  <c r="G79"/>
  <c r="H79"/>
  <c r="I79"/>
  <c r="J79"/>
  <c r="K79"/>
  <c r="L79"/>
  <c r="M79"/>
  <c r="N79"/>
  <c r="O79"/>
  <c r="P79"/>
  <c r="D79"/>
  <c r="D40"/>
  <c r="D81"/>
  <c r="AG40"/>
  <c r="AI40"/>
  <c r="AF39"/>
  <c r="AF83"/>
  <c r="AG39"/>
  <c r="AG83"/>
  <c r="D78"/>
  <c r="D22" i="22"/>
  <c r="C22"/>
  <c r="B22"/>
  <c r="C18" i="19"/>
  <c r="AG80" i="23"/>
  <c r="P32"/>
  <c r="P34"/>
  <c r="Q35"/>
  <c r="Q37"/>
  <c r="R38"/>
  <c r="S43"/>
  <c r="U49"/>
  <c r="V50"/>
  <c r="W55"/>
  <c r="X56"/>
  <c r="X58"/>
  <c r="Y59"/>
  <c r="Y61"/>
  <c r="Z62"/>
  <c r="Z64"/>
  <c r="AA65"/>
  <c r="AA67"/>
  <c r="AB68"/>
  <c r="P43"/>
  <c r="R49"/>
  <c r="S50"/>
  <c r="S79"/>
  <c r="U58"/>
  <c r="V59"/>
  <c r="T55"/>
  <c r="U56"/>
  <c r="W64"/>
  <c r="X65"/>
  <c r="X67"/>
  <c r="Y68"/>
  <c r="Y70"/>
  <c r="Z71"/>
  <c r="Z73"/>
  <c r="AA74"/>
  <c r="V61"/>
  <c r="W62"/>
  <c r="AA76"/>
  <c r="AB77"/>
  <c r="V52"/>
  <c r="W53"/>
  <c r="AC73"/>
  <c r="AD74"/>
  <c r="P38"/>
  <c r="R78"/>
  <c r="R84"/>
  <c r="P78"/>
  <c r="P84"/>
  <c r="Q44"/>
  <c r="Q79"/>
  <c r="T44"/>
  <c r="AC37"/>
  <c r="AD38"/>
  <c r="AB34"/>
  <c r="Y31"/>
  <c r="Z32"/>
  <c r="V22"/>
  <c r="W23"/>
  <c r="AB64"/>
  <c r="AB28"/>
  <c r="AC29"/>
  <c r="AC31"/>
  <c r="AE37"/>
  <c r="AD70"/>
  <c r="AF76"/>
  <c r="Q31"/>
  <c r="R32"/>
  <c r="S37"/>
  <c r="T38"/>
  <c r="W49"/>
  <c r="X50"/>
  <c r="Z58"/>
  <c r="AA59"/>
  <c r="AA79"/>
  <c r="AE73"/>
  <c r="AD34"/>
  <c r="P28"/>
  <c r="Q29"/>
  <c r="R34"/>
  <c r="S35"/>
  <c r="U43"/>
  <c r="V44"/>
  <c r="Y55"/>
  <c r="Z56"/>
  <c r="AA61"/>
  <c r="AB62"/>
  <c r="V46"/>
  <c r="AC67"/>
  <c r="AB39"/>
  <c r="AB83"/>
  <c r="Z78"/>
  <c r="AA78"/>
  <c r="AA84"/>
  <c r="Y78"/>
  <c r="Y84"/>
  <c r="U78"/>
  <c r="U84"/>
  <c r="G16" i="11"/>
  <c r="F16"/>
  <c r="J16"/>
  <c r="H16"/>
  <c r="I16"/>
  <c r="E16"/>
  <c r="D16"/>
  <c r="L16"/>
  <c r="L81" i="23"/>
  <c r="V79"/>
  <c r="X79"/>
  <c r="Z79"/>
  <c r="P26"/>
  <c r="W78"/>
  <c r="W84"/>
  <c r="Z84"/>
  <c r="L24" i="10"/>
  <c r="L10" i="11"/>
  <c r="AH80" i="23"/>
  <c r="AC35"/>
  <c r="AC40"/>
  <c r="X28"/>
  <c r="Y29"/>
  <c r="P40"/>
  <c r="P81"/>
  <c r="M81"/>
  <c r="AB79"/>
  <c r="N81"/>
  <c r="U7"/>
  <c r="V16"/>
  <c r="W17"/>
  <c r="R4"/>
  <c r="X22"/>
  <c r="Y23"/>
  <c r="Z22"/>
  <c r="W19"/>
  <c r="X20"/>
  <c r="W25"/>
  <c r="X26"/>
  <c r="Y19"/>
  <c r="AA31"/>
  <c r="AB32"/>
  <c r="AA37"/>
  <c r="AB38"/>
  <c r="P4"/>
  <c r="S7"/>
  <c r="S13"/>
  <c r="T14"/>
  <c r="U13"/>
  <c r="V14"/>
  <c r="U19"/>
  <c r="V20"/>
  <c r="Q7"/>
  <c r="T4"/>
  <c r="T10"/>
  <c r="U11"/>
  <c r="T16"/>
  <c r="U17"/>
  <c r="V10"/>
  <c r="R10"/>
  <c r="S11"/>
  <c r="X16"/>
  <c r="Z28"/>
  <c r="AA29"/>
  <c r="Z34"/>
  <c r="AA35"/>
  <c r="W13"/>
  <c r="Y25"/>
  <c r="Z26"/>
  <c r="AA25"/>
  <c r="T46"/>
  <c r="T78"/>
  <c r="X52"/>
  <c r="S52"/>
  <c r="Q46"/>
  <c r="V78"/>
  <c r="V84"/>
  <c r="W47"/>
  <c r="W79"/>
  <c r="O81"/>
  <c r="AD39"/>
  <c r="AD83"/>
  <c r="AE35"/>
  <c r="AE40"/>
  <c r="AF74"/>
  <c r="AF79"/>
  <c r="AE78"/>
  <c r="AD78"/>
  <c r="AE71"/>
  <c r="AE79"/>
  <c r="AE81"/>
  <c r="AC39"/>
  <c r="AC83"/>
  <c r="AD32"/>
  <c r="AD40"/>
  <c r="AB78"/>
  <c r="AC65"/>
  <c r="AC79"/>
  <c r="AD68"/>
  <c r="AD79"/>
  <c r="AC78"/>
  <c r="AF78"/>
  <c r="AG77"/>
  <c r="AG79"/>
  <c r="AG81"/>
  <c r="AE39"/>
  <c r="AE83"/>
  <c r="AF38"/>
  <c r="AF40"/>
  <c r="AC81"/>
  <c r="AB80"/>
  <c r="AB84"/>
  <c r="T53"/>
  <c r="T79"/>
  <c r="S78"/>
  <c r="U47"/>
  <c r="U79"/>
  <c r="B12" i="11"/>
  <c r="AA39" i="23"/>
  <c r="AB26"/>
  <c r="AB40"/>
  <c r="W39"/>
  <c r="X14"/>
  <c r="X40"/>
  <c r="X81"/>
  <c r="T39"/>
  <c r="T83"/>
  <c r="U5"/>
  <c r="U40"/>
  <c r="Q5"/>
  <c r="Q40"/>
  <c r="Q81"/>
  <c r="P39"/>
  <c r="Z39"/>
  <c r="AA23"/>
  <c r="AA40"/>
  <c r="AA81"/>
  <c r="S5"/>
  <c r="S40"/>
  <c r="S81"/>
  <c r="R39"/>
  <c r="U39"/>
  <c r="V8"/>
  <c r="V40"/>
  <c r="V81"/>
  <c r="AB81"/>
  <c r="Q78"/>
  <c r="R47"/>
  <c r="R79"/>
  <c r="Y53"/>
  <c r="Y79"/>
  <c r="X78"/>
  <c r="X39"/>
  <c r="X83"/>
  <c r="Y17"/>
  <c r="Y40"/>
  <c r="W11"/>
  <c r="W40"/>
  <c r="W81"/>
  <c r="V39"/>
  <c r="R8"/>
  <c r="R40"/>
  <c r="Q39"/>
  <c r="Q83"/>
  <c r="T8"/>
  <c r="T40"/>
  <c r="S39"/>
  <c r="S83"/>
  <c r="Y39"/>
  <c r="Z20"/>
  <c r="Z40"/>
  <c r="Z81"/>
  <c r="AD81"/>
  <c r="AF84"/>
  <c r="AF80"/>
  <c r="AD84"/>
  <c r="AD80"/>
  <c r="AF81"/>
  <c r="AC80"/>
  <c r="AC84"/>
  <c r="AE84"/>
  <c r="AE80"/>
  <c r="Y83"/>
  <c r="Y80"/>
  <c r="X80"/>
  <c r="X84"/>
  <c r="U83"/>
  <c r="U80"/>
  <c r="Z80"/>
  <c r="Z83"/>
  <c r="W83"/>
  <c r="W80"/>
  <c r="AA83"/>
  <c r="AA80"/>
  <c r="L6" i="11"/>
  <c r="L5"/>
  <c r="T80" i="23"/>
  <c r="T84"/>
  <c r="S80"/>
  <c r="S84"/>
  <c r="R81"/>
  <c r="V83"/>
  <c r="V80"/>
  <c r="Q84"/>
  <c r="Q80"/>
  <c r="R80"/>
  <c r="R83"/>
  <c r="P80"/>
  <c r="P83"/>
  <c r="L13" i="11"/>
  <c r="Y81" i="23"/>
  <c r="U81"/>
  <c r="T81"/>
  <c r="L7" i="11"/>
  <c r="B11"/>
  <c r="L8"/>
  <c r="L9"/>
  <c r="L11"/>
  <c r="L18"/>
  <c r="L22"/>
</calcChain>
</file>

<file path=xl/comments1.xml><?xml version="1.0" encoding="utf-8"?>
<comments xmlns="http://schemas.openxmlformats.org/spreadsheetml/2006/main">
  <authors>
    <author>Guy Doriot</author>
  </authors>
  <commentList>
    <comment ref="E41" authorId="0">
      <text>
        <r>
          <rPr>
            <sz val="8"/>
            <color indexed="81"/>
            <rFont val="Tahoma"/>
            <family val="2"/>
          </rPr>
          <t xml:space="preserve">C'est le solde de début de mois n°13 donc de fin d'exercice.
</t>
        </r>
      </text>
    </comment>
    <comment ref="H41" authorId="0">
      <text>
        <r>
          <rPr>
            <sz val="8"/>
            <color indexed="81"/>
            <rFont val="Tahoma"/>
            <family val="2"/>
          </rPr>
          <t xml:space="preserve">C'est le solde de début de mois n°13 donc de fin d'exercice.
</t>
        </r>
      </text>
    </comment>
  </commentList>
</comments>
</file>

<file path=xl/sharedStrings.xml><?xml version="1.0" encoding="utf-8"?>
<sst xmlns="http://schemas.openxmlformats.org/spreadsheetml/2006/main" count="1154" uniqueCount="698">
  <si>
    <t>Produits d'exploitation</t>
  </si>
  <si>
    <t>Ventes de marchandises</t>
  </si>
  <si>
    <t>Production vendue (biens et services)</t>
  </si>
  <si>
    <t>dont à l'exportation :</t>
  </si>
  <si>
    <t>Subventions d'exploitation</t>
  </si>
  <si>
    <t>Reprises sur provisions (et amortissements), transfert de charges</t>
  </si>
  <si>
    <t>Autres produits</t>
  </si>
  <si>
    <t xml:space="preserve">Sous-total (B) </t>
  </si>
  <si>
    <t>Produits financiers</t>
  </si>
  <si>
    <t>De participations</t>
  </si>
  <si>
    <t>D'autres valeurs mobilières et créances de l'actif immobilisé</t>
  </si>
  <si>
    <t>Autres intérêts et produits assimilés</t>
  </si>
  <si>
    <t>Reprises sur provisions et transferts de charges</t>
  </si>
  <si>
    <t>Différences positives de change</t>
  </si>
  <si>
    <t>Produits nets sur cessions de valeur mobilières de placement</t>
  </si>
  <si>
    <t>Produits exceptionnels</t>
  </si>
  <si>
    <t>Sur opérations de gestion</t>
  </si>
  <si>
    <t>Sur opérations de capital</t>
  </si>
  <si>
    <t>Solde débiteur = perte</t>
  </si>
  <si>
    <t>TOTAL GENERAL</t>
  </si>
  <si>
    <t>Exercice N</t>
  </si>
  <si>
    <t>Total des produits d'exploitation (A+B) = (I)</t>
  </si>
  <si>
    <t>Quotes-parts de résultats sur opérations faites en commun = (II)</t>
  </si>
  <si>
    <t>Total des produits financiers (III)</t>
  </si>
  <si>
    <t>Total des produits exceptionnels (IV)</t>
  </si>
  <si>
    <t>Total des produits (I + II + III + IV)</t>
  </si>
  <si>
    <t>Charges d'exploitation</t>
  </si>
  <si>
    <t>Achats de marchandises</t>
  </si>
  <si>
    <t>Variation de stock (stock initial - stock final)</t>
  </si>
  <si>
    <t>Achats de matières premières et autres approvisionnements</t>
  </si>
  <si>
    <t>Salaires et traitements</t>
  </si>
  <si>
    <t>Charges sociales</t>
  </si>
  <si>
    <t>Dotation aux amortissements et aux provisions</t>
  </si>
  <si>
    <t>CHARGES (hors taxes) Classe 6</t>
  </si>
  <si>
    <t>Code</t>
  </si>
  <si>
    <t>Transfert de charges</t>
  </si>
  <si>
    <t>Reprises sur amortissements et provisions</t>
  </si>
  <si>
    <t>sur immobilisations : dotation aux provisions</t>
  </si>
  <si>
    <t>sur actif circulant : dotation aux provisions</t>
  </si>
  <si>
    <t>pour risques et charges : dotations aux provisions</t>
  </si>
  <si>
    <t>Total des charges d'exploitation (I)</t>
  </si>
  <si>
    <t>Quotes-parts de résultats sur opérations faites en commun (II)</t>
  </si>
  <si>
    <t>Charges financières</t>
  </si>
  <si>
    <t>PRODUITS (hors taxes) Classe 7</t>
  </si>
  <si>
    <t>Dotations aux amortissements et aux provisions</t>
  </si>
  <si>
    <t>Différences négatives de change</t>
  </si>
  <si>
    <t>Charges nettes sur cessions de valeurs mobilières de placement</t>
  </si>
  <si>
    <t>Total des charges financières (III)</t>
  </si>
  <si>
    <t>Charges exceptionnelles</t>
  </si>
  <si>
    <t>Sur opérations en capital</t>
  </si>
  <si>
    <t>Total des charges exceptionnelles (IV)</t>
  </si>
  <si>
    <t>Participation des salariés aux fruits de l'expansion (V)</t>
  </si>
  <si>
    <t>ACTIF</t>
  </si>
  <si>
    <t>Immobilisations incorporelles</t>
  </si>
  <si>
    <t>Frais d'établissement</t>
  </si>
  <si>
    <t>Frais de recherche et de développement</t>
  </si>
  <si>
    <t>Concessions, brevets, licences, marques, procédés, droits et valeurs similaires</t>
  </si>
  <si>
    <t>Fonds commercial</t>
  </si>
  <si>
    <t>Autres</t>
  </si>
  <si>
    <t>Avances et acomptes</t>
  </si>
  <si>
    <t>Immobilisations corporelles</t>
  </si>
  <si>
    <t>Terrains</t>
  </si>
  <si>
    <t>Constructions</t>
  </si>
  <si>
    <t>Immobilisations corporelles en-cours</t>
  </si>
  <si>
    <t>Immobilisations financières</t>
  </si>
  <si>
    <t>Participations</t>
  </si>
  <si>
    <t>Créances rattachées à des participations</t>
  </si>
  <si>
    <t>Autres titres immobilisés</t>
  </si>
  <si>
    <t>Prêts</t>
  </si>
  <si>
    <t>Stocks et en-cours</t>
  </si>
  <si>
    <t>Matières premières et autres approvisionnements</t>
  </si>
  <si>
    <t>Produits intermédiaires et finis</t>
  </si>
  <si>
    <t>Marchandises (à revendre en l'état)</t>
  </si>
  <si>
    <t>Créances</t>
  </si>
  <si>
    <t>Créances clients et comptes rattachés</t>
  </si>
  <si>
    <t>Capital souscrit appelé et non versé</t>
  </si>
  <si>
    <t>Valeurs mobilières de placement</t>
  </si>
  <si>
    <t>Actions propres</t>
  </si>
  <si>
    <t>Autres titres</t>
  </si>
  <si>
    <t>Charges constatées d'avance</t>
  </si>
  <si>
    <t>Charges à répartir sur plusieurs exercices</t>
  </si>
  <si>
    <t>Primes de remboursement des obligations</t>
  </si>
  <si>
    <t>Ecarts de conversion Actif</t>
  </si>
  <si>
    <t>ACTIF IMMOBILISE</t>
  </si>
  <si>
    <t>ACTIF CIRCULANT</t>
  </si>
  <si>
    <t>COMPTES DE REGULARISATION</t>
  </si>
  <si>
    <t>(Actionnaires), capital souscrit non appelé (I)</t>
  </si>
  <si>
    <t>TOTAL ACTIF IMMOBILISE (II)</t>
  </si>
  <si>
    <t>TOTAL ACTIF CIRCULANT (III)</t>
  </si>
  <si>
    <t>TOTAL COMPTES DE REGULARISATION (IV)</t>
  </si>
  <si>
    <t>PASSIF</t>
  </si>
  <si>
    <t>Prime d'émission, de fusion, d'apport</t>
  </si>
  <si>
    <t>Ecarts de réévaluation</t>
  </si>
  <si>
    <t>Réserves</t>
  </si>
  <si>
    <t>Réserves statutaires et contractuelles</t>
  </si>
  <si>
    <t>Réserves réglementées</t>
  </si>
  <si>
    <t>Autres réserves (facultatives)</t>
  </si>
  <si>
    <t>Résultat net de l'exercice (bénéfice ou perte)</t>
  </si>
  <si>
    <t>Subventions d'investissement</t>
  </si>
  <si>
    <t>Provisions réglementées</t>
  </si>
  <si>
    <t>CAPITAUX PROPRES</t>
  </si>
  <si>
    <t>TOTAL CAPITAUX PROPRES (I)</t>
  </si>
  <si>
    <t>PROVISIONS POUR RISQUES ET CHARGES</t>
  </si>
  <si>
    <t xml:space="preserve">Provisions pour risques </t>
  </si>
  <si>
    <t>Provisions pour charges</t>
  </si>
  <si>
    <t>DETTES</t>
  </si>
  <si>
    <t>Emprunts obligataires convertibles</t>
  </si>
  <si>
    <t>Autres emprunts obligataires</t>
  </si>
  <si>
    <t>Emprunt et dettes financières divers</t>
  </si>
  <si>
    <t>Dettes sur immobilisations et comptes rattachés</t>
  </si>
  <si>
    <t>Produits constatés d'avance</t>
  </si>
  <si>
    <t>Ecarts de conversion Passif</t>
  </si>
  <si>
    <t>TOTAL PROVISIONS POUR RISQUES ET CHARGES (II)</t>
  </si>
  <si>
    <t>TOTAL DETTES (III)</t>
  </si>
  <si>
    <t>TOTAL GENERAL PASSIF (I + II + III + IV)</t>
  </si>
  <si>
    <t>TOTAL GENERAL ACTIF (I + II + III+ IV)</t>
  </si>
  <si>
    <t>Amortst</t>
  </si>
  <si>
    <t>URSSAF</t>
  </si>
  <si>
    <t>Caisse de retraite complémentaire ARCCO</t>
  </si>
  <si>
    <t>Caisse de retraite des cadres AGIRC</t>
  </si>
  <si>
    <t>Assedic</t>
  </si>
  <si>
    <t>Mutuelle et prévoyance</t>
  </si>
  <si>
    <t>Autres organismes sociaux</t>
  </si>
  <si>
    <t>Taxe d'apprentissage</t>
  </si>
  <si>
    <t>Participation à la formation professionnelle continue</t>
  </si>
  <si>
    <t>Participation des employeurs à l'effort de construction</t>
  </si>
  <si>
    <t>Taxe professionnelle</t>
  </si>
  <si>
    <t>Taxe foncière</t>
  </si>
  <si>
    <t>Taxe sur les véhicules de société</t>
  </si>
  <si>
    <t>Directeur général ou gérant</t>
  </si>
  <si>
    <t>Directeur commercial</t>
  </si>
  <si>
    <t>Directeur Technique et de R&amp;D</t>
  </si>
  <si>
    <t>Chefs de projet</t>
  </si>
  <si>
    <t>Secrétariat</t>
  </si>
  <si>
    <t>Développeurs informaticiens</t>
  </si>
  <si>
    <t>Infographistes</t>
  </si>
  <si>
    <t>Sous-traitance</t>
  </si>
  <si>
    <t>Redevances de crédit-bail</t>
  </si>
  <si>
    <t>Loyers et charges locatives</t>
  </si>
  <si>
    <t>Entretien et réparations</t>
  </si>
  <si>
    <t>Assurances</t>
  </si>
  <si>
    <t>Personnel intérimaire</t>
  </si>
  <si>
    <t>Honoraires</t>
  </si>
  <si>
    <t>Publicité, publications, relations publiques</t>
  </si>
  <si>
    <t>Déplacement, missions et réceptions</t>
  </si>
  <si>
    <t>Frais postaux et de télécommunications</t>
  </si>
  <si>
    <t>Petit matériel</t>
  </si>
  <si>
    <t>Fournitures de bureau</t>
  </si>
  <si>
    <t>Documentation et frais de colloques, séminaires</t>
  </si>
  <si>
    <t>EDF-GDF, Eau</t>
  </si>
  <si>
    <t>Responsables de production</t>
  </si>
  <si>
    <t>Base</t>
  </si>
  <si>
    <t>Montant</t>
  </si>
  <si>
    <t>Production immobilisée (de l'entreprise pour elle-même)</t>
  </si>
  <si>
    <t>Autres charges externes (x% de la masse salariale brute)</t>
  </si>
  <si>
    <t>Salaires et traitements bruts</t>
  </si>
  <si>
    <t>Impôts et taxes (y% de la masse salariale brute)</t>
  </si>
  <si>
    <t>Charges sociales (z% de la masse salariale brute)</t>
  </si>
  <si>
    <t xml:space="preserve">Autres achats et charges externes dont sous-traitance </t>
  </si>
  <si>
    <t>Directeur Géneral</t>
  </si>
  <si>
    <t>Directeur Commercial</t>
  </si>
  <si>
    <t>Directeur Technique et R&amp;D</t>
  </si>
  <si>
    <t>Chef de projet 1</t>
  </si>
  <si>
    <t>Responsable de production 1</t>
  </si>
  <si>
    <t>Développeur informaticien 1</t>
  </si>
  <si>
    <t>Développeur informaticien 2</t>
  </si>
  <si>
    <t>Infographiste 1</t>
  </si>
  <si>
    <t>Infographiste 2</t>
  </si>
  <si>
    <t>Exercice N°1</t>
  </si>
  <si>
    <t>Invest</t>
  </si>
  <si>
    <t>Postes</t>
  </si>
  <si>
    <t>Amort.</t>
  </si>
  <si>
    <t>Mois</t>
  </si>
  <si>
    <t>Agencements (5ans)</t>
  </si>
  <si>
    <t>Matériel de bureau (5ans)</t>
  </si>
  <si>
    <t>Salle de réunion et de démonstration</t>
  </si>
  <si>
    <t xml:space="preserve">Agencements </t>
  </si>
  <si>
    <t>Total total Investissement</t>
  </si>
  <si>
    <t>Total total Amortissement</t>
  </si>
  <si>
    <t>sur immobilisations : dotation aux amortissements (voir détail au tableau d'immo)</t>
  </si>
  <si>
    <t>Production stockée (Stock final-stock initial)(travaux en-cours)</t>
  </si>
  <si>
    <t>DG</t>
  </si>
  <si>
    <t>DC</t>
  </si>
  <si>
    <t>DT et R&amp;D</t>
  </si>
  <si>
    <t>Chefs de projets</t>
  </si>
  <si>
    <t>Resp. de prod.</t>
  </si>
  <si>
    <t>Impôts et taxes</t>
  </si>
  <si>
    <t>Sections principales</t>
  </si>
  <si>
    <t>DG et secrétariat</t>
  </si>
  <si>
    <t>Sections auxiliaires</t>
  </si>
  <si>
    <t>Total frais de personnel</t>
  </si>
  <si>
    <t>Prorata frais de personnel</t>
  </si>
  <si>
    <t>DT R&amp;D</t>
  </si>
  <si>
    <t>Total frais de section SP après imputation</t>
  </si>
  <si>
    <t>Taux horaire en coût de revient complet</t>
  </si>
  <si>
    <t>Prorata heures</t>
  </si>
  <si>
    <t>Effectif en fin d'exercice</t>
  </si>
  <si>
    <t xml:space="preserve">CHARGES </t>
  </si>
  <si>
    <t>Total CHARGES hors sous-traitance</t>
  </si>
  <si>
    <t>Clefs de répartition</t>
  </si>
  <si>
    <t>Autres charges externes par abonnement</t>
  </si>
  <si>
    <t>Impôts et taxes par abonnement</t>
  </si>
  <si>
    <t>Salaires chefs de projet</t>
  </si>
  <si>
    <t>Salaires responsables de production</t>
  </si>
  <si>
    <t>Salaires développeurs informaticiens</t>
  </si>
  <si>
    <t>Salaires infographistes</t>
  </si>
  <si>
    <t>Solde en banque et Caisse en début de mois (A)</t>
  </si>
  <si>
    <t>Apport en capital</t>
  </si>
  <si>
    <t>Investissements en immobilisations TTC</t>
  </si>
  <si>
    <t>Total Encaissements (E)</t>
  </si>
  <si>
    <t>Total Décaissements (F)</t>
  </si>
  <si>
    <t>Emprunts Moyen Terme contractés pour immo</t>
  </si>
  <si>
    <t>Frais financiers</t>
  </si>
  <si>
    <t>Encaissements (Ressources)</t>
  </si>
  <si>
    <t>Décaissements (Emplois)</t>
  </si>
  <si>
    <t>Concours Court terme Loi Dailly (80% du CA facturé TTC)</t>
  </si>
  <si>
    <t>Remboursements Dailly à échéance d'encaissement client</t>
  </si>
  <si>
    <t>Intérêts en-cours Dailly à 8% l'an</t>
  </si>
  <si>
    <t>Flux de trésorerie du mois</t>
  </si>
  <si>
    <t>Investissements en immobilisations incorporelles</t>
  </si>
  <si>
    <t>Frais de recherche et développement avant création (Navicub)</t>
  </si>
  <si>
    <t>Frais d'établissement amortis en 3 ans</t>
  </si>
  <si>
    <t>Frais de 1er établissement</t>
  </si>
  <si>
    <t>Frais de recherche et développement</t>
  </si>
  <si>
    <t>Résultat net après impôts</t>
  </si>
  <si>
    <t>Résultat avant impôts</t>
  </si>
  <si>
    <t>Dépenses d'exploitation (Décaissements d'exploitation)</t>
  </si>
  <si>
    <t>En-cours de production en fin d'exercice non facturés (biens et services)</t>
  </si>
  <si>
    <t xml:space="preserve">Montant net du chiffre d'affaires HT facturé Sous-total (A) </t>
  </si>
  <si>
    <t>Dettes sociales</t>
  </si>
  <si>
    <t xml:space="preserve">Impôts sur les bénéfices (VI) </t>
  </si>
  <si>
    <t xml:space="preserve">TOTAL DES CHARGES (I + II +III + IV) </t>
  </si>
  <si>
    <t>Invst</t>
  </si>
  <si>
    <t>Amort</t>
  </si>
  <si>
    <t>Dettes fournisseurs et comptes rattachés (achats ou prestations de services : sous-traitance à payer au mois N°13)</t>
  </si>
  <si>
    <t>Capital social (dont versé)</t>
  </si>
  <si>
    <t>CA1</t>
  </si>
  <si>
    <t>BFR A1 = Besoin en fonds de roulement A1</t>
  </si>
  <si>
    <t>Janv</t>
  </si>
  <si>
    <t>Févr</t>
  </si>
  <si>
    <t>Mars</t>
  </si>
  <si>
    <t>Avr</t>
  </si>
  <si>
    <t>Mai</t>
  </si>
  <si>
    <t>Juin</t>
  </si>
  <si>
    <t>Juil</t>
  </si>
  <si>
    <t>Août</t>
  </si>
  <si>
    <t>Sept</t>
  </si>
  <si>
    <t>Oct</t>
  </si>
  <si>
    <t>Nov</t>
  </si>
  <si>
    <t>Déc</t>
  </si>
  <si>
    <t>Directeur général</t>
  </si>
  <si>
    <t>Directeur technique et R&amp;D</t>
  </si>
  <si>
    <t>Secrétaire</t>
  </si>
  <si>
    <t>Chef de projet</t>
  </si>
  <si>
    <t>Salaire mensuel brut</t>
  </si>
  <si>
    <t>Responsable de production</t>
  </si>
  <si>
    <t>Dév Informaticiens</t>
  </si>
  <si>
    <t>Total</t>
  </si>
  <si>
    <t>Total total</t>
  </si>
  <si>
    <t>Taux horaires exercice N°1</t>
  </si>
  <si>
    <t>Vérif total</t>
  </si>
  <si>
    <t>Imputation des frais de sections SA</t>
  </si>
  <si>
    <t>Dotation aux amortissements (corporels et incorporels)</t>
  </si>
  <si>
    <t>Fin</t>
  </si>
  <si>
    <t>Main d'œuvre directe</t>
  </si>
  <si>
    <t>Développeur informaticien</t>
  </si>
  <si>
    <t>Infographiste</t>
  </si>
  <si>
    <t>Frais de déplacement</t>
  </si>
  <si>
    <t>Auteur</t>
  </si>
  <si>
    <t>Scénariste</t>
  </si>
  <si>
    <t>Photographe</t>
  </si>
  <si>
    <t>Budget PR</t>
  </si>
  <si>
    <t>Heures sur contrat</t>
  </si>
  <si>
    <t>Total sous-traitance</t>
  </si>
  <si>
    <t>Total MOD</t>
  </si>
  <si>
    <t>Flux mensuel exploitation D = (B-C)</t>
  </si>
  <si>
    <t>Flux mensuel Ressources-Emplois G = (E-F)</t>
  </si>
  <si>
    <t>Flux mensuel global de trésorerie (D+G)</t>
  </si>
  <si>
    <t xml:space="preserve">Intérêts des emprunts </t>
  </si>
  <si>
    <t>Agios sur découvert</t>
  </si>
  <si>
    <t>Remboursement d'emprunts pour immo (3 ans à 7%) (capital)</t>
  </si>
  <si>
    <t>Agios financiers sur découvert de fin de mois précédent</t>
  </si>
  <si>
    <t>Flux mensuel d'exploitation</t>
  </si>
  <si>
    <t>Charges sociales à payer au mois suivant les salaires</t>
  </si>
  <si>
    <t xml:space="preserve">Intérêts de l'emprunt pour immobilisations </t>
  </si>
  <si>
    <t>Fév</t>
  </si>
  <si>
    <t>Capital social</t>
  </si>
  <si>
    <t>Stocks et travaux en-cours</t>
  </si>
  <si>
    <t>+ TVA fournisseurs</t>
  </si>
  <si>
    <t>+ Créances clients</t>
  </si>
  <si>
    <t>- Dettes fournisseurs TTC</t>
  </si>
  <si>
    <t>- Dettes fiscales</t>
  </si>
  <si>
    <t>- Dettes sociales</t>
  </si>
  <si>
    <t>- TVA sur créances clients</t>
  </si>
  <si>
    <t>Trésorerie = FR - BFR</t>
  </si>
  <si>
    <t>- Immobilisations nettes</t>
  </si>
  <si>
    <t>Total BFR A1</t>
  </si>
  <si>
    <t>Total FR A1</t>
  </si>
  <si>
    <t>FR A1 = Fonds de roulement en année 1</t>
  </si>
  <si>
    <t>CROISSANCE DU CA PAR AUTOFINANCEMENT</t>
  </si>
  <si>
    <t>Besoins durables</t>
  </si>
  <si>
    <t>Investissements H.T.</t>
  </si>
  <si>
    <t>Besoin en fonds de roulement</t>
  </si>
  <si>
    <t>Ressources durables</t>
  </si>
  <si>
    <t>Comptes courants d'associés</t>
  </si>
  <si>
    <t>Subventions ou primes d'équipements</t>
  </si>
  <si>
    <t>Emprunts à long et moyen terme</t>
  </si>
  <si>
    <t>Total Besoins</t>
  </si>
  <si>
    <t>Total Ressources</t>
  </si>
  <si>
    <t>Disponibilités en banque</t>
  </si>
  <si>
    <t>Découvert en banque</t>
  </si>
  <si>
    <t>Modalités de règlement clients</t>
  </si>
  <si>
    <t>Total Charges</t>
  </si>
  <si>
    <t>FR</t>
  </si>
  <si>
    <t>BFR</t>
  </si>
  <si>
    <t>Facturation à mi-délai de chaque contrat</t>
  </si>
  <si>
    <t>Facturation du solde à réception du programme</t>
  </si>
  <si>
    <t>Modalités de règlement des fournisseurs</t>
  </si>
  <si>
    <t>Acompte comptant à la commande</t>
  </si>
  <si>
    <t>Prêt pour immobilisations</t>
  </si>
  <si>
    <t>Taux annuel</t>
  </si>
  <si>
    <t>Intérêts du prêt pour immobilisations</t>
  </si>
  <si>
    <t>Montant total des frais financiers</t>
  </si>
  <si>
    <t>Dividendes distribués (x% du résultat après impôts)</t>
  </si>
  <si>
    <t>J</t>
  </si>
  <si>
    <t>F</t>
  </si>
  <si>
    <t>M</t>
  </si>
  <si>
    <t>A</t>
  </si>
  <si>
    <t>S</t>
  </si>
  <si>
    <t>O</t>
  </si>
  <si>
    <t>N</t>
  </si>
  <si>
    <t>D</t>
  </si>
  <si>
    <t>Facturation TTC</t>
  </si>
  <si>
    <t>Encaisse TTC</t>
  </si>
  <si>
    <t>Commande Mars</t>
  </si>
  <si>
    <t>Commande Avril</t>
  </si>
  <si>
    <t>Commande Mai</t>
  </si>
  <si>
    <t>Commande Juin</t>
  </si>
  <si>
    <t>Commande Juillet</t>
  </si>
  <si>
    <t>Commande Août</t>
  </si>
  <si>
    <t>Commande Septembre</t>
  </si>
  <si>
    <t>Commande Octobre</t>
  </si>
  <si>
    <t>Commande Novembre</t>
  </si>
  <si>
    <t>Commande Décembre</t>
  </si>
  <si>
    <t>Total Encaisse mensuelle</t>
  </si>
  <si>
    <t>Délai de règlement des factures en jours</t>
  </si>
  <si>
    <t>Rappel des Modalités de règlement clients</t>
  </si>
  <si>
    <t>Perte d'exploitation</t>
  </si>
  <si>
    <t>Taux horaires sous-traitance</t>
  </si>
  <si>
    <t>Equipe audio-vidéo</t>
  </si>
  <si>
    <t>Salaires bruts mensuels Medi@form</t>
  </si>
  <si>
    <t>Taux de charges sociales patronales sur salaires bruts</t>
  </si>
  <si>
    <t>Autres achats externes (% de la masse salariale)</t>
  </si>
  <si>
    <t>Impôts et taxes (% de la masse salariale)</t>
  </si>
  <si>
    <t>Impôts sur les bénéfices (% du résultat d'exploitation)</t>
  </si>
  <si>
    <t>Total Passif</t>
  </si>
  <si>
    <t>Total Actif</t>
  </si>
  <si>
    <t>Emprunt et dettes auprès des établissements de crédit (reste à rembourser en capital)</t>
  </si>
  <si>
    <t>Taux annuel du découvert</t>
  </si>
  <si>
    <t>PARAMETRES</t>
  </si>
  <si>
    <t>RESULTATS</t>
  </si>
  <si>
    <t>Factures fournisseurs TTC reçues dans le mois pour les achats externes</t>
  </si>
  <si>
    <t>Factures fournisseurs TTC reçues dans le mois pour les immobilisations</t>
  </si>
  <si>
    <t>Factures des sous-traitants reçues dans le mois de fin des contrats</t>
  </si>
  <si>
    <t>Flux net de TVA à régler dans le mois (voir calcul TVA)</t>
  </si>
  <si>
    <t>+ Emprunt à long et moyen terme (net après remboursement)</t>
  </si>
  <si>
    <t>Durée de remboursement sur combien de mois</t>
  </si>
  <si>
    <t xml:space="preserve">Planning des commandes </t>
  </si>
  <si>
    <t>Avril</t>
  </si>
  <si>
    <t>Juillet</t>
  </si>
  <si>
    <t>Septembre</t>
  </si>
  <si>
    <t>Octobre</t>
  </si>
  <si>
    <t>Novembre</t>
  </si>
  <si>
    <t>Décembre</t>
  </si>
  <si>
    <t>Oui</t>
  </si>
  <si>
    <t>invariable</t>
  </si>
  <si>
    <t>Valeur de l'en-cours</t>
  </si>
  <si>
    <t>30j</t>
  </si>
  <si>
    <t>tx = taux d'impôts</t>
  </si>
  <si>
    <t>Résultat d'exploitation avant impôts : BN2</t>
  </si>
  <si>
    <t xml:space="preserve">EQUATION DE PERFORMANCE FINANCIERE ET LEVIER FINANCIER </t>
  </si>
  <si>
    <t>+ Résultat d'exploitation après impôts</t>
  </si>
  <si>
    <t>CA2 Objectif</t>
  </si>
  <si>
    <t>c = taux de croissance du CA = (CA2-CA1)/CA1</t>
  </si>
  <si>
    <t>BFR A1</t>
  </si>
  <si>
    <t>a = autofinancement / CA1</t>
  </si>
  <si>
    <t>Jusqu'à quel niveau de dividendes peut-on encore financer la croissance par autofinancement ?</t>
  </si>
  <si>
    <t>BFR en A2</t>
  </si>
  <si>
    <t>Augmentation du BFR en A2 par rapport à A1</t>
  </si>
  <si>
    <t>Montant de l'emprunt pour financer le reste de l'augmentation du BFR en A2 par rapport à A1</t>
  </si>
  <si>
    <t>d = Dividendes distribués</t>
  </si>
  <si>
    <t>autofinancement = Résultat d'exploitation après impôts et avant distribution de dividendes d = BN1</t>
  </si>
  <si>
    <t xml:space="preserve">b = BFR A1/CA1 </t>
  </si>
  <si>
    <t>Autofinancement net restant pour financer l'augmentation du BFR</t>
  </si>
  <si>
    <t>Autofinancement possible ?</t>
  </si>
  <si>
    <t>BN1 après impôts = (1-tx) BN2 = [D.(Re-i)+Re.CP](1-tx)</t>
  </si>
  <si>
    <t>Rentabilité financière = Rf1 = BN1/CP = [(D/CP)x(Re3-i) + Re3](1-tx)</t>
  </si>
  <si>
    <t>Valeurs A1</t>
  </si>
  <si>
    <t>Valeurs A2</t>
  </si>
  <si>
    <t>Février</t>
  </si>
  <si>
    <t>Janvier</t>
  </si>
  <si>
    <t>Contrat sans vidéo</t>
  </si>
  <si>
    <t>Contrat avec vidéo</t>
  </si>
  <si>
    <t>Non</t>
  </si>
  <si>
    <t>invariable 4 mois</t>
  </si>
  <si>
    <t>Durée de réalisation de chaque commande</t>
  </si>
  <si>
    <t>invariable 5 mois</t>
  </si>
  <si>
    <t xml:space="preserve">Valeurs réf A1 </t>
  </si>
  <si>
    <t>Valeurs réf A2</t>
  </si>
  <si>
    <t>EXERCICE A1</t>
  </si>
  <si>
    <t>EXERCICE A2</t>
  </si>
  <si>
    <t>Commercial N°2</t>
  </si>
  <si>
    <t>Facturation à 2 mois ou à 3 mois de chaque contrat</t>
  </si>
  <si>
    <t>Sous-traitants : paiement à 30 j à réception de factures</t>
  </si>
  <si>
    <t>Achats externes : paiement au comptant</t>
  </si>
  <si>
    <t>Planning de production, de facturation, d'encaisse A1</t>
  </si>
  <si>
    <t>Planning de production, de facturation, d'encaisse A2</t>
  </si>
  <si>
    <t>Base contrat sans vidéo TTC A1</t>
  </si>
  <si>
    <t>Base contrat sans vidéo TTC A2</t>
  </si>
  <si>
    <t>Base contrat avec vidéo TTC A2</t>
  </si>
  <si>
    <t>Commande Janvier</t>
  </si>
  <si>
    <t>Commande Février</t>
  </si>
  <si>
    <t xml:space="preserve">Facturation TTC </t>
  </si>
  <si>
    <t>CONTRATS SANS VIDEO</t>
  </si>
  <si>
    <t>CONTRATS AVEC VIDEO</t>
  </si>
  <si>
    <t xml:space="preserve">Sous-traitance TTC Contrat sans vidéo </t>
  </si>
  <si>
    <t xml:space="preserve">Sous-traitance TTC Contrat avec vidéo </t>
  </si>
  <si>
    <t>Contrats terminés sans vidéo</t>
  </si>
  <si>
    <t>Contrats terminés avec vidéo</t>
  </si>
  <si>
    <t>Dév. informaticiens</t>
  </si>
  <si>
    <t>Taux horaires exercice N°2</t>
  </si>
  <si>
    <t>Exercice N+1</t>
  </si>
  <si>
    <t>Exercice N°2</t>
  </si>
  <si>
    <t>Chef de projet 2</t>
  </si>
  <si>
    <t>Responsable de production 2</t>
  </si>
  <si>
    <t>Développeur informaticien 3</t>
  </si>
  <si>
    <t>Infographiste 3</t>
  </si>
  <si>
    <t>Matériel et logiciel de production et d'administration (3 ans)</t>
  </si>
  <si>
    <t>Total total Investissement H.T. de l'exercice</t>
  </si>
  <si>
    <t>Total total Amortissement de l'exercice</t>
  </si>
  <si>
    <t>Investissement H.T. Exercice</t>
  </si>
  <si>
    <t>Amortissement Exercice</t>
  </si>
  <si>
    <t>Achats et charges externes hors sous-traitance et frais de déplacement</t>
  </si>
  <si>
    <t>Nombre de mois de salaires</t>
  </si>
  <si>
    <t>Les cellules grisées indiquent un mois d'embauche</t>
  </si>
  <si>
    <t>Contrats sans vidéo terminés</t>
  </si>
  <si>
    <t>Contrats avec vidéo terminés</t>
  </si>
  <si>
    <r>
      <t xml:space="preserve">Les </t>
    </r>
    <r>
      <rPr>
        <b/>
        <sz val="8"/>
        <rFont val="Arial"/>
        <family val="2"/>
      </rPr>
      <t>amortissements</t>
    </r>
    <r>
      <rPr>
        <sz val="8"/>
        <rFont val="Arial"/>
        <family val="2"/>
      </rPr>
      <t xml:space="preserve"> sont déjà inclus dans les taux horaires en coût complet</t>
    </r>
  </si>
  <si>
    <t>TH</t>
  </si>
  <si>
    <t>PV TTC décidé</t>
  </si>
  <si>
    <t>PV HT décidé</t>
  </si>
  <si>
    <t>Frais de déplacement des contrats terminés</t>
  </si>
  <si>
    <t>CA TTC facturé</t>
  </si>
  <si>
    <t>Travail produit au 31/12/A1</t>
  </si>
  <si>
    <t>Prix de vente HT du contrat avec vidéo</t>
  </si>
  <si>
    <t>Net fin N</t>
  </si>
  <si>
    <t>Net fin N+1</t>
  </si>
  <si>
    <t>Impôts sur bénéfices</t>
  </si>
  <si>
    <t>Postes du contrat</t>
  </si>
  <si>
    <t>Total budget contrat calculé</t>
  </si>
  <si>
    <t>Nombre de contrats sans vidéo terminés dans l'exercice</t>
  </si>
  <si>
    <t>Nombre de contrats avec vidéo terminés dans l'exercice</t>
  </si>
  <si>
    <t>Frais de déplacement contrat avec vidéo (2000 € par contrat terminé)</t>
  </si>
  <si>
    <t>Frais de déplacement contrat sans vidéo (2000 € par contrat terminé)</t>
  </si>
  <si>
    <t xml:space="preserve">Prix de vente HT du contrat sans vidéo </t>
  </si>
  <si>
    <t xml:space="preserve">Solde en banque au 31/12 </t>
  </si>
  <si>
    <t>Total Produits (y compris variations de TEC)</t>
  </si>
  <si>
    <t>FONDS DE ROULEMENT ET BESOIN EN FONDS DE ROULEMENT A1</t>
  </si>
  <si>
    <t>FONDS DE ROULEMENT ET BESOIN EN FONDS DE ROULEMENT A2</t>
  </si>
  <si>
    <t>BUDGET PR DU CONTRAT SANS VIDEO A1</t>
  </si>
  <si>
    <t xml:space="preserve">Budget PR </t>
  </si>
  <si>
    <t>BUDGET PR DU CONTRAT SANS VIDEO A2</t>
  </si>
  <si>
    <t>BUDGET PR DU CONTRAT AVEC VIDEO A2</t>
  </si>
  <si>
    <t>Travail facturé au 31/12/A1</t>
  </si>
  <si>
    <t>Résultat</t>
  </si>
  <si>
    <t>PV H.T.</t>
  </si>
  <si>
    <t>Dividendes distribués</t>
  </si>
  <si>
    <t>Avant répartition des bénéfices</t>
  </si>
  <si>
    <t>Après répartition des bénéfices</t>
  </si>
  <si>
    <t>Dividendes à distribuer en N+1</t>
  </si>
  <si>
    <t>Sous-total situation nette après répartition = capital + réserves + report à nouveau</t>
  </si>
  <si>
    <t>Report à nouveau après répartition des résultats (somme des déficits des exercices antérieurs)</t>
  </si>
  <si>
    <t>Réserve légale : 5% du résultat jusqu'à 10% du capital social</t>
  </si>
  <si>
    <t>Facturation de l'acompte à la commande</t>
  </si>
  <si>
    <t>Absenteïsme en nbre de jours annuel</t>
  </si>
  <si>
    <t xml:space="preserve">Nombre d'heures théorique de présence annuelle du personnel </t>
  </si>
  <si>
    <t xml:space="preserve">Nombre d'heures réel moyen de présence mensuelle du personnel  </t>
  </si>
  <si>
    <t>N° de mois</t>
  </si>
  <si>
    <t>Nombre de contrats sans vidéo commandés dans l'exercice</t>
  </si>
  <si>
    <t>Nombre de contrats avec vidéo commandés dans l'exercice</t>
  </si>
  <si>
    <t>Année A1</t>
  </si>
  <si>
    <t>Année A2</t>
  </si>
  <si>
    <t>Budget en PR d'un contrat sans vidéo</t>
  </si>
  <si>
    <t>Budget en PR d'un contrat avec vidéo</t>
  </si>
  <si>
    <t>Travaux en-cours des contrats sans vidéo au 31/12</t>
  </si>
  <si>
    <t>Travaux en-cours des contrats avec vidéo au 31/12</t>
  </si>
  <si>
    <t>Travail produit au 31/12/A2</t>
  </si>
  <si>
    <t>Travail facturé au 31/12/A2</t>
  </si>
  <si>
    <t>Commande de décembre (à son début)(10% de facturé)</t>
  </si>
  <si>
    <t>Commande d'août (aux 4/5 terminée)(10%+40% de facturé)</t>
  </si>
  <si>
    <t>Commande de septembre (aux 3/4 terminée)(10%+40% de facturé)</t>
  </si>
  <si>
    <t>Commande d'octobre (à moitié terminée) (10%+40% de facturé)</t>
  </si>
  <si>
    <t>Commande de novembre (au 1/4 terminée)(10% de facturé)</t>
  </si>
  <si>
    <t>Commande d'octobre (aux 2/5 terminée)(10% de facturé)</t>
  </si>
  <si>
    <t>FR A2 = Fonds de roulement en année 2</t>
  </si>
  <si>
    <t>Total FR A2</t>
  </si>
  <si>
    <t>BFR A2 = Besoin en fonds de roulement A2</t>
  </si>
  <si>
    <t>Total BFR A2</t>
  </si>
  <si>
    <t xml:space="preserve">Installations techniques, matériel et outillages industriels </t>
  </si>
  <si>
    <t>Salaire scènariste</t>
  </si>
  <si>
    <t>Total Facturation TTC mensuelle</t>
  </si>
  <si>
    <t>TVA comptabilisée sur factures fournisseurs reçues dans le mois</t>
  </si>
  <si>
    <t>Autres (TVA sur fournisseurs comptabilisée dans le solde de décembre qui sera payé en janvier)</t>
  </si>
  <si>
    <t>A = Actif total</t>
  </si>
  <si>
    <t>D = Dettes totales = A - CP</t>
  </si>
  <si>
    <t>Dettes à moyen et long terme</t>
  </si>
  <si>
    <t xml:space="preserve">Charges financières totales FF= iD </t>
  </si>
  <si>
    <t>Intérêts des dettes à long et moyen terme</t>
  </si>
  <si>
    <t>i = taux d'intérêt moyen des dettes = FF/D</t>
  </si>
  <si>
    <t xml:space="preserve">BN3 = Bénéfice d'exploitation avant charges financières </t>
  </si>
  <si>
    <t>Re3 = BN3/A = Rentabilité économique de l'actif total</t>
  </si>
  <si>
    <t>p = Taux de rétention des bénéfices pour l'entreprise</t>
  </si>
  <si>
    <t>Rc = rentabilité des capitaux propres pour l'entreprise  = p x Rf1</t>
  </si>
  <si>
    <t>Ra = rentabilité des capitaux pour les actionnaires  = (1-p)xRf1</t>
  </si>
  <si>
    <t>Taux de croissance intrinséque des capitaux = p(1-t)xRe3</t>
  </si>
  <si>
    <t>Taux de croissance extrinséque des capitaux = p(1-t)x[D/CP(Re3-i)]</t>
  </si>
  <si>
    <t>A1</t>
  </si>
  <si>
    <t>A2</t>
  </si>
  <si>
    <t>Total total Facturation TTC</t>
  </si>
  <si>
    <t>Total total Encaisse TTC</t>
  </si>
  <si>
    <t>Détail facturation TTC sans vidéo</t>
  </si>
  <si>
    <t>Détail facturation TTC avec vidéo</t>
  </si>
  <si>
    <t>Avances et acomptes reçus sur commandes clients en-cours</t>
  </si>
  <si>
    <t>Avances et acomptes versés sur commandes fournisseurs</t>
  </si>
  <si>
    <t>Commande de septembre (aux 3/5 terminée)(10%+40% de facturé)</t>
  </si>
  <si>
    <t>Commande de novembre (aux 1/5 terminée)(10% de facturé)</t>
  </si>
  <si>
    <t>VALEUR DES TEC A PORTER A l'ACTIF</t>
  </si>
  <si>
    <t>VARIATION DE TEC A PORTER AU COMPTE DE RESULTAT</t>
  </si>
  <si>
    <t>Planning de production, de facturation, d'encaisse A3</t>
  </si>
  <si>
    <t>Invst Brut en N</t>
  </si>
  <si>
    <t>Invst Brut en N+1</t>
  </si>
  <si>
    <t>BN2 après charges financières et avant impôts = BN3 -iD = D.(Re-i)+Re.CP</t>
  </si>
  <si>
    <t>CP = Capitaux propres de début d'année</t>
  </si>
  <si>
    <t>COMPTE DE RESULTAT</t>
  </si>
  <si>
    <t>BILAN</t>
  </si>
  <si>
    <t>Produits</t>
  </si>
  <si>
    <t>Passif</t>
  </si>
  <si>
    <t>Avant</t>
  </si>
  <si>
    <t>Après</t>
  </si>
  <si>
    <t>Delta</t>
  </si>
  <si>
    <t>CA HT</t>
  </si>
  <si>
    <t>TEC</t>
  </si>
  <si>
    <t>Résultat net de l'exercice</t>
  </si>
  <si>
    <t>Total Produits</t>
  </si>
  <si>
    <t>Capitaux propres</t>
  </si>
  <si>
    <t>Charges</t>
  </si>
  <si>
    <t>Dettes auprès des établissements de crédit</t>
  </si>
  <si>
    <t>Achats externes</t>
  </si>
  <si>
    <t>Dettes fournisseurs</t>
  </si>
  <si>
    <t>Dettes fiscales</t>
  </si>
  <si>
    <t>Salaires bruts</t>
  </si>
  <si>
    <t>TVA sur comptes clients à acquitter</t>
  </si>
  <si>
    <t>Dotation aux amortissements</t>
  </si>
  <si>
    <t>Actif</t>
  </si>
  <si>
    <t>Agios</t>
  </si>
  <si>
    <t>Actif immobilisé net</t>
  </si>
  <si>
    <t>Intérêts sur emprunt</t>
  </si>
  <si>
    <t>Stock TEC</t>
  </si>
  <si>
    <t>Créances clients</t>
  </si>
  <si>
    <t>TVA sur comptes fournisseurs à récupérer</t>
  </si>
  <si>
    <t>Disponibilité en banque</t>
  </si>
  <si>
    <t>CA HT facturé au compte de produits</t>
  </si>
  <si>
    <t>Encaissement TTC</t>
  </si>
  <si>
    <t>Autres dettes (TVA à payer sur créances clients)</t>
  </si>
  <si>
    <t>Dettes fiscales (Impôts sur bénéfices)</t>
  </si>
  <si>
    <t>TVA à récupérer au mois i sur factures fournisseurs reçues au mois i-1</t>
  </si>
  <si>
    <t>TVA nette à payer dans le mois i</t>
  </si>
  <si>
    <t>TVA comptabilisée à payer sur CA HT facturé</t>
  </si>
  <si>
    <t>TVA restant à payer au 31/12/An et à porter au PASSIF du Bilan</t>
  </si>
  <si>
    <t>TVA restant à récupérer au 31/12/An et à porter à l'ACTIF du Bilan</t>
  </si>
  <si>
    <t xml:space="preserve">Cumul à fin de mois n de la TVA comptabilisée à payer </t>
  </si>
  <si>
    <t>Total Factures fournisseurs HT reçues dans le mois</t>
  </si>
  <si>
    <t>TVA payée au mois i sur encaissement du mois i-1</t>
  </si>
  <si>
    <t>CALCUL DE LA TVA ET BALANCE TVA POUR LE BILAN</t>
  </si>
  <si>
    <t>Cumul au mois n de la TVA à payer</t>
  </si>
  <si>
    <t>Cumul au mois n de la TVA à récupérer</t>
  </si>
  <si>
    <t>Encaissements d'exploitation TTC (B) à x j de facturation</t>
  </si>
  <si>
    <t>Délai de règlement des 3 factures clients à x jours</t>
  </si>
  <si>
    <t>Délai de paiement client</t>
  </si>
  <si>
    <t>Résultat BN2</t>
  </si>
  <si>
    <t>% Agios/BN2</t>
  </si>
  <si>
    <t>TVA à porter au PASSIF</t>
  </si>
  <si>
    <t>TVA à porter à l'ACTIF</t>
  </si>
  <si>
    <t>PRIME DIRECTEUR COMMERCIAL</t>
  </si>
  <si>
    <t>Salaire brut annuel</t>
  </si>
  <si>
    <t>Economie d'agios</t>
  </si>
  <si>
    <t>Total salaire brut</t>
  </si>
  <si>
    <t>Total salaire net : 80% du brut</t>
  </si>
  <si>
    <t>Δ salaire net</t>
  </si>
  <si>
    <t>R = 0,9 x Salaire net</t>
  </si>
  <si>
    <t>Calcul de l'IRPP</t>
  </si>
  <si>
    <t>N = nombre de parts</t>
  </si>
  <si>
    <t>QF = R/N</t>
  </si>
  <si>
    <t>Δ IRPP</t>
  </si>
  <si>
    <t>% ΔIRPP/Δ salaire net</t>
  </si>
  <si>
    <t>Revenu net supplémentaire</t>
  </si>
  <si>
    <t>Bareme fiscal 2008</t>
  </si>
  <si>
    <t>R x 0,055 - 312,79 x N</t>
  </si>
  <si>
    <t>R x 0,14 -1277,03 x N</t>
  </si>
  <si>
    <t>R x 0,3 - 5308,23 x N</t>
  </si>
  <si>
    <t>&gt;67546</t>
  </si>
  <si>
    <t xml:space="preserve"> R x 0,4 - 12062,83 x N</t>
  </si>
  <si>
    <t xml:space="preserve">IRPP à payer </t>
  </si>
  <si>
    <t>B</t>
  </si>
  <si>
    <t>C</t>
  </si>
  <si>
    <t>E</t>
  </si>
  <si>
    <t>G</t>
  </si>
  <si>
    <t>H</t>
  </si>
  <si>
    <t>I</t>
  </si>
  <si>
    <t>K</t>
  </si>
  <si>
    <t>L</t>
  </si>
  <si>
    <t>P</t>
  </si>
  <si>
    <t>Q</t>
  </si>
  <si>
    <t>R</t>
  </si>
  <si>
    <t>T</t>
  </si>
  <si>
    <t>U</t>
  </si>
  <si>
    <t>V</t>
  </si>
  <si>
    <t>W</t>
  </si>
  <si>
    <t>X</t>
  </si>
  <si>
    <t>Y</t>
  </si>
  <si>
    <t>Z</t>
  </si>
  <si>
    <t>AA</t>
  </si>
  <si>
    <t>AB</t>
  </si>
  <si>
    <t>Différence A-B</t>
  </si>
  <si>
    <t>AC</t>
  </si>
  <si>
    <t>AD</t>
  </si>
  <si>
    <t>DIAGNOSTIC MEDIAFORM</t>
  </si>
  <si>
    <t xml:space="preserve">Code </t>
  </si>
  <si>
    <t>Signification</t>
  </si>
  <si>
    <t>Commentaires</t>
  </si>
  <si>
    <t>CA</t>
  </si>
  <si>
    <t>Chiffre d'affaires</t>
  </si>
  <si>
    <t>ST</t>
  </si>
  <si>
    <t>VA</t>
  </si>
  <si>
    <t>Valeur ajoutée</t>
  </si>
  <si>
    <t>VA = CA - Sous-traitance</t>
  </si>
  <si>
    <t>EFF</t>
  </si>
  <si>
    <t>Effectif fin année</t>
  </si>
  <si>
    <t>FP</t>
  </si>
  <si>
    <t>BN1</t>
  </si>
  <si>
    <t>Bénéfice après impôts</t>
  </si>
  <si>
    <t>EBE</t>
  </si>
  <si>
    <t>Excédent brut d'exploitation</t>
  </si>
  <si>
    <t>EBE = VA - Charges de personnel - Impôts et Taxes</t>
  </si>
  <si>
    <t>AMOR</t>
  </si>
  <si>
    <t>Amortissements</t>
  </si>
  <si>
    <t>ACH</t>
  </si>
  <si>
    <t>Achats externes hors ST</t>
  </si>
  <si>
    <t>Code ratio</t>
  </si>
  <si>
    <t>Ratio</t>
  </si>
  <si>
    <t>Moyenne % SSII</t>
  </si>
  <si>
    <t>ACT 2</t>
  </si>
  <si>
    <t>VA/CA</t>
  </si>
  <si>
    <t>Ratio &lt; 1, mesure le degré d'intégration verticale.  Plus le ratio est proche de 1, plus l'entreprise a intégré ses moyens de production et moins elle fait appel à la sous-traitance</t>
  </si>
  <si>
    <t>RENT ECO 2</t>
  </si>
  <si>
    <t>EBE/CA</t>
  </si>
  <si>
    <t>Taux de marge : aptitude de l'entreprise à fixer son prix de vente à un niveau plus ou moins élevé au dessus de son prix de revient. Permet d'apprécier la force ou la faiblesse de la position sur le marché de l'entreprise par rapport à celle de ses concurrents</t>
  </si>
  <si>
    <t>ACT 3</t>
  </si>
  <si>
    <t>VA/EFF</t>
  </si>
  <si>
    <t>C'est la valeur ajoutée par personne</t>
  </si>
  <si>
    <t>FP/CA</t>
  </si>
  <si>
    <t>C'est la part du CA consacrée à payer les salaires bruts</t>
  </si>
  <si>
    <t>ACT 4</t>
  </si>
  <si>
    <t>FP/VA</t>
  </si>
  <si>
    <t>Part des charges en personnel dans la VA. Plus le ratio est élevé, plus l'entreprise utilise beaucoup de main d'œuvre ou paye bien ses salariés à effectif comparable</t>
  </si>
  <si>
    <t>STRUC 6</t>
  </si>
  <si>
    <t>BN1/CA</t>
  </si>
  <si>
    <t>Capacité de l'entreprise à générer un bénéfice net à partir du CA HT</t>
  </si>
  <si>
    <t>AMOR/CA</t>
  </si>
  <si>
    <t>C'est la part du CA consacré à doter le compte d'amortissement.</t>
  </si>
  <si>
    <t>ACT 7</t>
  </si>
  <si>
    <t>AMOR/VA</t>
  </si>
  <si>
    <t>L'entreprise utilise-t-elle toutes les possibilités fiscales qui lui sont offertes ?</t>
  </si>
  <si>
    <t>ACH/CA</t>
  </si>
  <si>
    <t>C'est la part du CA consacrée aux achats</t>
  </si>
  <si>
    <t>Ainet</t>
  </si>
  <si>
    <t>CP</t>
  </si>
  <si>
    <t>Sécurité</t>
  </si>
  <si>
    <t>AI net/CP</t>
  </si>
  <si>
    <t>Croissance</t>
  </si>
  <si>
    <t>CA/AI net</t>
  </si>
  <si>
    <t>Profit</t>
  </si>
  <si>
    <t>Rentabilté économique</t>
  </si>
  <si>
    <t>Re = BN1/AI net</t>
  </si>
  <si>
    <t>Rentabilté financière</t>
  </si>
  <si>
    <t>Rf = BNI/CP</t>
  </si>
  <si>
    <t>Ratios de performance</t>
  </si>
  <si>
    <t>Bénéfice net après impôts</t>
  </si>
</sst>
</file>

<file path=xl/styles.xml><?xml version="1.0" encoding="utf-8"?>
<styleSheet xmlns="http://schemas.openxmlformats.org/spreadsheetml/2006/main">
  <numFmts count="4">
    <numFmt numFmtId="8" formatCode="#,##0.00\ &quot;€&quot;;[Red]\-#,##0.00\ &quot;€&quot;"/>
    <numFmt numFmtId="43" formatCode="_-* #,##0.00\ _€_-;\-* #,##0.00\ _€_-;_-* &quot;-&quot;??\ _€_-;_-@_-"/>
    <numFmt numFmtId="164" formatCode="0.0000"/>
    <numFmt numFmtId="165" formatCode="#,##0.00_ ;\-#,##0.00\ "/>
  </numFmts>
  <fonts count="27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8"/>
      <color indexed="10"/>
      <name val="Arial"/>
      <family val="2"/>
    </font>
    <font>
      <sz val="8"/>
      <color indexed="81"/>
      <name val="Tahoma"/>
      <family val="2"/>
    </font>
    <font>
      <sz val="8"/>
      <name val="Arial"/>
      <family val="2"/>
    </font>
    <font>
      <sz val="10"/>
      <color indexed="10"/>
      <name val="Arial"/>
      <family val="2"/>
    </font>
    <font>
      <b/>
      <sz val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b/>
      <sz val="8"/>
      <color indexed="10"/>
      <name val="Arial"/>
      <family val="2"/>
    </font>
    <font>
      <b/>
      <sz val="12"/>
      <color indexed="10"/>
      <name val="Arial"/>
      <family val="2"/>
    </font>
    <font>
      <sz val="8"/>
      <color rgb="FFFF000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8"/>
      <color theme="1"/>
      <name val="Arial"/>
      <family val="2"/>
    </font>
    <font>
      <b/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</cellStyleXfs>
  <cellXfs count="57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" fillId="2" borderId="0" xfId="0" applyFont="1" applyFill="1"/>
    <xf numFmtId="0" fontId="1" fillId="0" borderId="0" xfId="0" applyFont="1" applyFill="1"/>
    <xf numFmtId="0" fontId="0" fillId="2" borderId="0" xfId="0" applyFill="1"/>
    <xf numFmtId="0" fontId="2" fillId="2" borderId="0" xfId="0" applyFont="1" applyFill="1"/>
    <xf numFmtId="0" fontId="0" fillId="2" borderId="0" xfId="0" applyFill="1" applyAlignment="1">
      <alignment horizontal="right"/>
    </xf>
    <xf numFmtId="0" fontId="0" fillId="2" borderId="0" xfId="0" applyFill="1" applyAlignment="1">
      <alignment horizontal="left"/>
    </xf>
    <xf numFmtId="0" fontId="0" fillId="0" borderId="0" xfId="0" applyFill="1"/>
    <xf numFmtId="0" fontId="0" fillId="0" borderId="0" xfId="0" applyFill="1" applyAlignment="1">
      <alignment horizontal="right"/>
    </xf>
    <xf numFmtId="0" fontId="0" fillId="0" borderId="0" xfId="0" applyFill="1" applyAlignment="1">
      <alignment horizontal="left"/>
    </xf>
    <xf numFmtId="0" fontId="1" fillId="0" borderId="0" xfId="0" applyFont="1" applyFill="1" applyAlignment="1">
      <alignment horizontal="left"/>
    </xf>
    <xf numFmtId="0" fontId="4" fillId="0" borderId="0" xfId="0" applyFont="1"/>
    <xf numFmtId="2" fontId="4" fillId="0" borderId="0" xfId="0" applyNumberFormat="1" applyFont="1"/>
    <xf numFmtId="0" fontId="5" fillId="0" borderId="0" xfId="0" applyFont="1"/>
    <xf numFmtId="0" fontId="0" fillId="0" borderId="1" xfId="0" applyBorder="1"/>
    <xf numFmtId="0" fontId="4" fillId="0" borderId="0" xfId="0" applyFont="1" applyAlignment="1">
      <alignment horizontal="center"/>
    </xf>
    <xf numFmtId="4" fontId="0" fillId="0" borderId="0" xfId="0" applyNumberFormat="1"/>
    <xf numFmtId="2" fontId="0" fillId="0" borderId="0" xfId="0" applyNumberFormat="1"/>
    <xf numFmtId="4" fontId="1" fillId="0" borderId="0" xfId="0" applyNumberFormat="1" applyFont="1"/>
    <xf numFmtId="0" fontId="6" fillId="0" borderId="0" xfId="0" applyFont="1"/>
    <xf numFmtId="9" fontId="7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2" fontId="9" fillId="0" borderId="0" xfId="0" applyNumberFormat="1" applyFont="1"/>
    <xf numFmtId="2" fontId="0" fillId="0" borderId="0" xfId="0" applyNumberFormat="1" applyFill="1"/>
    <xf numFmtId="2" fontId="1" fillId="0" borderId="0" xfId="0" applyNumberFormat="1" applyFont="1"/>
    <xf numFmtId="2" fontId="3" fillId="0" borderId="0" xfId="0" applyNumberFormat="1" applyFont="1"/>
    <xf numFmtId="0" fontId="0" fillId="0" borderId="2" xfId="0" applyBorder="1"/>
    <xf numFmtId="0" fontId="0" fillId="0" borderId="0" xfId="0" applyBorder="1"/>
    <xf numFmtId="0" fontId="0" fillId="0" borderId="3" xfId="0" applyBorder="1"/>
    <xf numFmtId="2" fontId="5" fillId="0" borderId="1" xfId="0" applyNumberFormat="1" applyFont="1" applyBorder="1"/>
    <xf numFmtId="2" fontId="5" fillId="0" borderId="0" xfId="0" applyNumberFormat="1" applyFont="1"/>
    <xf numFmtId="0" fontId="9" fillId="0" borderId="0" xfId="0" applyFont="1"/>
    <xf numFmtId="8" fontId="0" fillId="0" borderId="0" xfId="0" applyNumberFormat="1"/>
    <xf numFmtId="0" fontId="11" fillId="0" borderId="0" xfId="0" applyFont="1"/>
    <xf numFmtId="0" fontId="9" fillId="0" borderId="0" xfId="0" applyFont="1" applyAlignment="1">
      <alignment horizontal="center"/>
    </xf>
    <xf numFmtId="2" fontId="9" fillId="0" borderId="0" xfId="0" applyNumberFormat="1" applyFont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0" fontId="7" fillId="0" borderId="0" xfId="0" applyFont="1"/>
    <xf numFmtId="9" fontId="4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5" fillId="0" borderId="0" xfId="0" applyFont="1" applyBorder="1"/>
    <xf numFmtId="0" fontId="9" fillId="0" borderId="2" xfId="0" applyFont="1" applyBorder="1"/>
    <xf numFmtId="0" fontId="5" fillId="0" borderId="2" xfId="0" applyFont="1" applyBorder="1"/>
    <xf numFmtId="0" fontId="4" fillId="0" borderId="3" xfId="0" applyFont="1" applyBorder="1"/>
    <xf numFmtId="0" fontId="4" fillId="0" borderId="2" xfId="0" applyFont="1" applyBorder="1"/>
    <xf numFmtId="0" fontId="1" fillId="0" borderId="0" xfId="0" applyFont="1" applyAlignment="1"/>
    <xf numFmtId="4" fontId="4" fillId="0" borderId="0" xfId="0" applyNumberFormat="1" applyFont="1"/>
    <xf numFmtId="4" fontId="5" fillId="0" borderId="0" xfId="0" applyNumberFormat="1" applyFont="1"/>
    <xf numFmtId="0" fontId="5" fillId="0" borderId="4" xfId="0" applyFont="1" applyBorder="1"/>
    <xf numFmtId="1" fontId="12" fillId="0" borderId="3" xfId="0" applyNumberFormat="1" applyFont="1" applyBorder="1" applyAlignment="1">
      <alignment horizontal="center"/>
    </xf>
    <xf numFmtId="2" fontId="9" fillId="0" borderId="0" xfId="0" applyNumberFormat="1" applyFont="1" applyBorder="1"/>
    <xf numFmtId="2" fontId="5" fillId="0" borderId="0" xfId="0" applyNumberFormat="1" applyFont="1" applyBorder="1"/>
    <xf numFmtId="1" fontId="9" fillId="0" borderId="3" xfId="0" applyNumberFormat="1" applyFont="1" applyBorder="1" applyAlignment="1">
      <alignment horizontal="center"/>
    </xf>
    <xf numFmtId="2" fontId="9" fillId="0" borderId="0" xfId="0" applyNumberFormat="1" applyFont="1" applyBorder="1" applyAlignment="1">
      <alignment horizontal="center"/>
    </xf>
    <xf numFmtId="0" fontId="5" fillId="0" borderId="0" xfId="0" applyFont="1" applyAlignment="1"/>
    <xf numFmtId="0" fontId="5" fillId="0" borderId="1" xfId="0" applyFont="1" applyBorder="1" applyAlignment="1"/>
    <xf numFmtId="2" fontId="4" fillId="0" borderId="0" xfId="0" applyNumberFormat="1" applyFont="1" applyBorder="1"/>
    <xf numFmtId="4" fontId="5" fillId="0" borderId="0" xfId="0" applyNumberFormat="1" applyFont="1" applyBorder="1"/>
    <xf numFmtId="10" fontId="5" fillId="0" borderId="0" xfId="0" applyNumberFormat="1" applyFont="1" applyBorder="1"/>
    <xf numFmtId="10" fontId="5" fillId="0" borderId="0" xfId="0" applyNumberFormat="1" applyFont="1"/>
    <xf numFmtId="0" fontId="5" fillId="0" borderId="0" xfId="0" applyFont="1" applyBorder="1" applyAlignment="1">
      <alignment horizontal="center"/>
    </xf>
    <xf numFmtId="164" fontId="9" fillId="0" borderId="0" xfId="0" applyNumberFormat="1" applyFont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4" fontId="4" fillId="0" borderId="0" xfId="0" applyNumberFormat="1" applyFont="1" applyBorder="1"/>
    <xf numFmtId="0" fontId="4" fillId="0" borderId="0" xfId="0" applyFont="1" applyBorder="1"/>
    <xf numFmtId="4" fontId="13" fillId="0" borderId="0" xfId="0" applyNumberFormat="1" applyFont="1" applyBorder="1" applyAlignment="1">
      <alignment horizontal="right"/>
    </xf>
    <xf numFmtId="4" fontId="1" fillId="0" borderId="0" xfId="0" applyNumberFormat="1" applyFont="1" applyBorder="1"/>
    <xf numFmtId="4" fontId="9" fillId="0" borderId="3" xfId="0" applyNumberFormat="1" applyFont="1" applyBorder="1" applyAlignment="1">
      <alignment horizontal="center"/>
    </xf>
    <xf numFmtId="4" fontId="4" fillId="0" borderId="3" xfId="0" applyNumberFormat="1" applyFont="1" applyBorder="1" applyAlignment="1">
      <alignment horizontal="center"/>
    </xf>
    <xf numFmtId="0" fontId="5" fillId="0" borderId="4" xfId="0" applyFont="1" applyFill="1" applyBorder="1"/>
    <xf numFmtId="4" fontId="9" fillId="0" borderId="0" xfId="0" applyNumberFormat="1" applyFont="1"/>
    <xf numFmtId="0" fontId="5" fillId="0" borderId="0" xfId="0" applyFont="1" applyFill="1" applyBorder="1"/>
    <xf numFmtId="2" fontId="9" fillId="0" borderId="2" xfId="0" applyNumberFormat="1" applyFont="1" applyBorder="1"/>
    <xf numFmtId="2" fontId="4" fillId="0" borderId="2" xfId="0" applyNumberFormat="1" applyFont="1" applyBorder="1"/>
    <xf numFmtId="0" fontId="12" fillId="0" borderId="0" xfId="0" applyFont="1" applyBorder="1" applyAlignment="1">
      <alignment horizontal="center"/>
    </xf>
    <xf numFmtId="1" fontId="12" fillId="0" borderId="0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 vertical="center" wrapText="1"/>
    </xf>
    <xf numFmtId="2" fontId="9" fillId="0" borderId="1" xfId="0" applyNumberFormat="1" applyFont="1" applyBorder="1"/>
    <xf numFmtId="0" fontId="1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2" fontId="4" fillId="0" borderId="3" xfId="0" applyNumberFormat="1" applyFont="1" applyBorder="1"/>
    <xf numFmtId="2" fontId="5" fillId="0" borderId="3" xfId="0" applyNumberFormat="1" applyFont="1" applyBorder="1"/>
    <xf numFmtId="2" fontId="5" fillId="0" borderId="8" xfId="0" applyNumberFormat="1" applyFont="1" applyBorder="1"/>
    <xf numFmtId="0" fontId="4" fillId="0" borderId="0" xfId="0" applyFont="1" applyBorder="1" applyAlignment="1">
      <alignment horizontal="center"/>
    </xf>
    <xf numFmtId="2" fontId="5" fillId="0" borderId="8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9" fillId="0" borderId="3" xfId="0" applyFont="1" applyBorder="1"/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9" fillId="0" borderId="0" xfId="0" applyFont="1" applyFill="1" applyBorder="1"/>
    <xf numFmtId="1" fontId="7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0" fontId="0" fillId="0" borderId="12" xfId="0" applyBorder="1"/>
    <xf numFmtId="4" fontId="9" fillId="0" borderId="2" xfId="0" applyNumberFormat="1" applyFont="1" applyBorder="1" applyAlignment="1">
      <alignment horizontal="center"/>
    </xf>
    <xf numFmtId="4" fontId="9" fillId="0" borderId="0" xfId="0" applyNumberFormat="1" applyFont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2" fontId="9" fillId="0" borderId="3" xfId="0" applyNumberFormat="1" applyFont="1" applyBorder="1" applyAlignment="1">
      <alignment horizontal="center"/>
    </xf>
    <xf numFmtId="1" fontId="9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2" fontId="11" fillId="0" borderId="8" xfId="0" applyNumberFormat="1" applyFont="1" applyBorder="1" applyAlignment="1">
      <alignment horizontal="center"/>
    </xf>
    <xf numFmtId="1" fontId="12" fillId="0" borderId="2" xfId="0" applyNumberFormat="1" applyFont="1" applyBorder="1" applyAlignment="1">
      <alignment horizontal="center"/>
    </xf>
    <xf numFmtId="2" fontId="9" fillId="0" borderId="2" xfId="0" applyNumberFormat="1" applyFont="1" applyBorder="1" applyAlignment="1">
      <alignment horizontal="center"/>
    </xf>
    <xf numFmtId="2" fontId="11" fillId="0" borderId="4" xfId="0" applyNumberFormat="1" applyFont="1" applyBorder="1" applyAlignment="1">
      <alignment horizontal="center"/>
    </xf>
    <xf numFmtId="2" fontId="11" fillId="0" borderId="6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4" fillId="0" borderId="8" xfId="0" applyFont="1" applyBorder="1"/>
    <xf numFmtId="0" fontId="4" fillId="0" borderId="6" xfId="0" applyFont="1" applyBorder="1"/>
    <xf numFmtId="0" fontId="14" fillId="0" borderId="12" xfId="0" applyFont="1" applyFill="1" applyBorder="1"/>
    <xf numFmtId="0" fontId="0" fillId="0" borderId="7" xfId="0" applyBorder="1"/>
    <xf numFmtId="0" fontId="3" fillId="0" borderId="8" xfId="0" applyFont="1" applyBorder="1"/>
    <xf numFmtId="0" fontId="0" fillId="0" borderId="8" xfId="0" applyBorder="1"/>
    <xf numFmtId="2" fontId="14" fillId="0" borderId="9" xfId="0" applyNumberFormat="1" applyFont="1" applyBorder="1"/>
    <xf numFmtId="2" fontId="5" fillId="0" borderId="10" xfId="0" applyNumberFormat="1" applyFont="1" applyBorder="1"/>
    <xf numFmtId="1" fontId="9" fillId="0" borderId="0" xfId="0" applyNumberFormat="1" applyFont="1" applyAlignment="1">
      <alignment horizontal="center"/>
    </xf>
    <xf numFmtId="1" fontId="9" fillId="0" borderId="1" xfId="0" applyNumberFormat="1" applyFont="1" applyBorder="1" applyAlignment="1">
      <alignment horizontal="center"/>
    </xf>
    <xf numFmtId="0" fontId="5" fillId="0" borderId="1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4" xfId="0" applyFont="1" applyBorder="1"/>
    <xf numFmtId="0" fontId="3" fillId="0" borderId="4" xfId="0" applyFont="1" applyBorder="1"/>
    <xf numFmtId="2" fontId="9" fillId="0" borderId="3" xfId="0" applyNumberFormat="1" applyFont="1" applyBorder="1"/>
    <xf numFmtId="0" fontId="0" fillId="0" borderId="4" xfId="0" applyBorder="1"/>
    <xf numFmtId="0" fontId="5" fillId="0" borderId="8" xfId="0" applyFont="1" applyBorder="1"/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5" fillId="0" borderId="7" xfId="0" applyFont="1" applyBorder="1" applyAlignment="1"/>
    <xf numFmtId="0" fontId="5" fillId="0" borderId="11" xfId="0" applyFont="1" applyBorder="1" applyAlignment="1"/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2" fontId="4" fillId="0" borderId="2" xfId="0" applyNumberFormat="1" applyFont="1" applyBorder="1" applyAlignment="1">
      <alignment vertical="center" wrapText="1"/>
    </xf>
    <xf numFmtId="0" fontId="5" fillId="0" borderId="6" xfId="0" applyFont="1" applyBorder="1"/>
    <xf numFmtId="4" fontId="12" fillId="0" borderId="2" xfId="0" applyNumberFormat="1" applyFont="1" applyBorder="1" applyAlignment="1">
      <alignment horizontal="center"/>
    </xf>
    <xf numFmtId="4" fontId="4" fillId="0" borderId="3" xfId="0" applyNumberFormat="1" applyFont="1" applyFill="1" applyBorder="1" applyAlignment="1">
      <alignment horizontal="center"/>
    </xf>
    <xf numFmtId="2" fontId="12" fillId="0" borderId="2" xfId="0" applyNumberFormat="1" applyFont="1" applyFill="1" applyBorder="1" applyAlignment="1">
      <alignment horizontal="center"/>
    </xf>
    <xf numFmtId="2" fontId="12" fillId="0" borderId="4" xfId="0" applyNumberFormat="1" applyFont="1" applyFill="1" applyBorder="1" applyAlignment="1">
      <alignment horizontal="center"/>
    </xf>
    <xf numFmtId="4" fontId="4" fillId="0" borderId="6" xfId="0" applyNumberFormat="1" applyFon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1" fontId="12" fillId="0" borderId="0" xfId="0" applyNumberFormat="1" applyFont="1" applyAlignment="1">
      <alignment horizontal="center"/>
    </xf>
    <xf numFmtId="0" fontId="0" fillId="0" borderId="15" xfId="0" applyBorder="1"/>
    <xf numFmtId="0" fontId="0" fillId="0" borderId="17" xfId="0" applyBorder="1"/>
    <xf numFmtId="0" fontId="5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0" fillId="0" borderId="14" xfId="0" applyBorder="1"/>
    <xf numFmtId="0" fontId="5" fillId="0" borderId="14" xfId="0" applyFont="1" applyBorder="1" applyAlignment="1">
      <alignment horizontal="center"/>
    </xf>
    <xf numFmtId="4" fontId="5" fillId="0" borderId="14" xfId="0" applyNumberFormat="1" applyFont="1" applyBorder="1"/>
    <xf numFmtId="4" fontId="5" fillId="0" borderId="14" xfId="0" applyNumberFormat="1" applyFont="1" applyBorder="1" applyAlignment="1">
      <alignment vertical="center" wrapText="1"/>
    </xf>
    <xf numFmtId="4" fontId="4" fillId="0" borderId="14" xfId="0" applyNumberFormat="1" applyFont="1" applyBorder="1"/>
    <xf numFmtId="4" fontId="9" fillId="0" borderId="14" xfId="0" applyNumberFormat="1" applyFont="1" applyBorder="1" applyAlignment="1">
      <alignment vertical="center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5" fillId="0" borderId="15" xfId="0" applyFont="1" applyBorder="1"/>
    <xf numFmtId="0" fontId="9" fillId="0" borderId="16" xfId="0" applyFont="1" applyBorder="1"/>
    <xf numFmtId="0" fontId="5" fillId="0" borderId="16" xfId="0" applyFont="1" applyBorder="1" applyAlignment="1">
      <alignment horizontal="center"/>
    </xf>
    <xf numFmtId="0" fontId="0" fillId="0" borderId="16" xfId="0" applyBorder="1"/>
    <xf numFmtId="4" fontId="5" fillId="0" borderId="16" xfId="0" applyNumberFormat="1" applyFont="1" applyBorder="1"/>
    <xf numFmtId="0" fontId="11" fillId="0" borderId="15" xfId="0" applyFont="1" applyBorder="1"/>
    <xf numFmtId="0" fontId="9" fillId="0" borderId="15" xfId="0" applyFont="1" applyBorder="1"/>
    <xf numFmtId="4" fontId="4" fillId="0" borderId="16" xfId="0" applyNumberFormat="1" applyFont="1" applyBorder="1"/>
    <xf numFmtId="4" fontId="4" fillId="0" borderId="16" xfId="0" applyNumberFormat="1" applyFont="1" applyBorder="1" applyAlignment="1">
      <alignment vertical="center"/>
    </xf>
    <xf numFmtId="4" fontId="5" fillId="0" borderId="16" xfId="0" applyNumberFormat="1" applyFont="1" applyBorder="1" applyAlignment="1">
      <alignment horizontal="right"/>
    </xf>
    <xf numFmtId="0" fontId="5" fillId="0" borderId="17" xfId="0" applyFont="1" applyBorder="1"/>
    <xf numFmtId="4" fontId="5" fillId="0" borderId="18" xfId="0" applyNumberFormat="1" applyFont="1" applyBorder="1"/>
    <xf numFmtId="4" fontId="5" fillId="0" borderId="19" xfId="0" applyNumberFormat="1" applyFont="1" applyBorder="1" applyAlignment="1">
      <alignment horizontal="right"/>
    </xf>
    <xf numFmtId="0" fontId="7" fillId="0" borderId="2" xfId="0" applyFont="1" applyBorder="1" applyAlignment="1">
      <alignment horizontal="center"/>
    </xf>
    <xf numFmtId="1" fontId="4" fillId="0" borderId="0" xfId="0" applyNumberFormat="1" applyFont="1" applyBorder="1"/>
    <xf numFmtId="0" fontId="9" fillId="0" borderId="14" xfId="0" applyFont="1" applyBorder="1"/>
    <xf numFmtId="2" fontId="5" fillId="0" borderId="14" xfId="0" applyNumberFormat="1" applyFont="1" applyBorder="1"/>
    <xf numFmtId="0" fontId="1" fillId="0" borderId="15" xfId="0" applyFont="1" applyBorder="1" applyAlignment="1"/>
    <xf numFmtId="0" fontId="15" fillId="0" borderId="16" xfId="0" applyFont="1" applyBorder="1" applyAlignment="1">
      <alignment horizontal="center" vertical="center" wrapText="1"/>
    </xf>
    <xf numFmtId="0" fontId="4" fillId="0" borderId="15" xfId="0" applyFont="1" applyBorder="1"/>
    <xf numFmtId="4" fontId="9" fillId="0" borderId="16" xfId="0" applyNumberFormat="1" applyFont="1" applyBorder="1"/>
    <xf numFmtId="0" fontId="4" fillId="0" borderId="15" xfId="0" applyFont="1" applyBorder="1" applyAlignment="1">
      <alignment horizontal="right"/>
    </xf>
    <xf numFmtId="10" fontId="9" fillId="0" borderId="16" xfId="0" applyNumberFormat="1" applyFont="1" applyBorder="1"/>
    <xf numFmtId="10" fontId="4" fillId="0" borderId="16" xfId="0" applyNumberFormat="1" applyFont="1" applyBorder="1"/>
    <xf numFmtId="10" fontId="5" fillId="0" borderId="16" xfId="0" applyNumberFormat="1" applyFont="1" applyBorder="1"/>
    <xf numFmtId="0" fontId="5" fillId="0" borderId="17" xfId="0" applyNumberFormat="1" applyFont="1" applyBorder="1"/>
    <xf numFmtId="10" fontId="5" fillId="0" borderId="19" xfId="0" applyNumberFormat="1" applyFont="1" applyBorder="1"/>
    <xf numFmtId="0" fontId="15" fillId="0" borderId="14" xfId="0" applyFont="1" applyBorder="1" applyAlignment="1">
      <alignment horizontal="center" vertical="center" wrapText="1"/>
    </xf>
    <xf numFmtId="4" fontId="9" fillId="0" borderId="14" xfId="0" applyNumberFormat="1" applyFont="1" applyBorder="1"/>
    <xf numFmtId="10" fontId="9" fillId="0" borderId="14" xfId="0" applyNumberFormat="1" applyFont="1" applyBorder="1"/>
    <xf numFmtId="10" fontId="4" fillId="0" borderId="14" xfId="0" applyNumberFormat="1" applyFont="1" applyBorder="1"/>
    <xf numFmtId="10" fontId="5" fillId="0" borderId="14" xfId="0" applyNumberFormat="1" applyFont="1" applyBorder="1"/>
    <xf numFmtId="10" fontId="5" fillId="0" borderId="18" xfId="0" applyNumberFormat="1" applyFont="1" applyBorder="1"/>
    <xf numFmtId="0" fontId="5" fillId="0" borderId="16" xfId="0" applyFont="1" applyBorder="1"/>
    <xf numFmtId="2" fontId="4" fillId="0" borderId="16" xfId="0" applyNumberFormat="1" applyFont="1" applyBorder="1"/>
    <xf numFmtId="0" fontId="5" fillId="0" borderId="14" xfId="0" applyFont="1" applyBorder="1" applyAlignment="1">
      <alignment horizontal="center" vertical="center" wrapText="1"/>
    </xf>
    <xf numFmtId="2" fontId="9" fillId="0" borderId="14" xfId="0" applyNumberFormat="1" applyFont="1" applyBorder="1"/>
    <xf numFmtId="0" fontId="0" fillId="0" borderId="20" xfId="0" applyBorder="1"/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2" fontId="9" fillId="0" borderId="16" xfId="0" applyNumberFormat="1" applyFont="1" applyBorder="1"/>
    <xf numFmtId="0" fontId="5" fillId="0" borderId="15" xfId="0" applyFont="1" applyBorder="1" applyAlignment="1">
      <alignment horizontal="right"/>
    </xf>
    <xf numFmtId="2" fontId="5" fillId="0" borderId="16" xfId="0" applyNumberFormat="1" applyFont="1" applyBorder="1"/>
    <xf numFmtId="0" fontId="0" fillId="0" borderId="18" xfId="0" applyBorder="1"/>
    <xf numFmtId="2" fontId="5" fillId="0" borderId="18" xfId="0" applyNumberFormat="1" applyFont="1" applyBorder="1"/>
    <xf numFmtId="2" fontId="5" fillId="0" borderId="19" xfId="0" applyNumberFormat="1" applyFont="1" applyBorder="1"/>
    <xf numFmtId="0" fontId="1" fillId="0" borderId="21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1" fillId="0" borderId="14" xfId="0" applyFont="1" applyBorder="1"/>
    <xf numFmtId="4" fontId="1" fillId="0" borderId="14" xfId="0" applyNumberFormat="1" applyFont="1" applyBorder="1"/>
    <xf numFmtId="4" fontId="0" fillId="0" borderId="14" xfId="0" applyNumberFormat="1" applyBorder="1"/>
    <xf numFmtId="0" fontId="0" fillId="2" borderId="14" xfId="0" applyFill="1" applyBorder="1"/>
    <xf numFmtId="0" fontId="0" fillId="0" borderId="14" xfId="0" applyBorder="1" applyAlignment="1">
      <alignment horizontal="right"/>
    </xf>
    <xf numFmtId="4" fontId="3" fillId="0" borderId="14" xfId="0" applyNumberFormat="1" applyFont="1" applyBorder="1"/>
    <xf numFmtId="0" fontId="0" fillId="0" borderId="14" xfId="0" applyBorder="1" applyAlignment="1">
      <alignment vertical="center" wrapText="1"/>
    </xf>
    <xf numFmtId="0" fontId="1" fillId="2" borderId="14" xfId="0" applyFont="1" applyFill="1" applyBorder="1"/>
    <xf numFmtId="0" fontId="3" fillId="2" borderId="14" xfId="0" applyFont="1" applyFill="1" applyBorder="1"/>
    <xf numFmtId="0" fontId="0" fillId="0" borderId="16" xfId="0" applyBorder="1" applyAlignment="1">
      <alignment horizontal="center" vertical="center" wrapText="1"/>
    </xf>
    <xf numFmtId="4" fontId="0" fillId="0" borderId="16" xfId="0" applyNumberFormat="1" applyBorder="1"/>
    <xf numFmtId="4" fontId="1" fillId="0" borderId="16" xfId="0" applyNumberFormat="1" applyFont="1" applyBorder="1"/>
    <xf numFmtId="0" fontId="1" fillId="0" borderId="18" xfId="0" applyFont="1" applyBorder="1"/>
    <xf numFmtId="4" fontId="1" fillId="0" borderId="18" xfId="0" applyNumberFormat="1" applyFont="1" applyBorder="1"/>
    <xf numFmtId="2" fontId="0" fillId="0" borderId="14" xfId="0" applyNumberFormat="1" applyBorder="1"/>
    <xf numFmtId="2" fontId="1" fillId="0" borderId="14" xfId="0" applyNumberFormat="1" applyFont="1" applyBorder="1"/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4" fontId="3" fillId="0" borderId="16" xfId="0" applyNumberFormat="1" applyFont="1" applyBorder="1"/>
    <xf numFmtId="0" fontId="0" fillId="0" borderId="15" xfId="0" applyFill="1" applyBorder="1"/>
    <xf numFmtId="0" fontId="0" fillId="2" borderId="15" xfId="0" applyFill="1" applyBorder="1"/>
    <xf numFmtId="0" fontId="1" fillId="2" borderId="15" xfId="0" applyFont="1" applyFill="1" applyBorder="1"/>
    <xf numFmtId="0" fontId="1" fillId="0" borderId="16" xfId="0" applyFont="1" applyBorder="1"/>
    <xf numFmtId="2" fontId="1" fillId="0" borderId="16" xfId="0" applyNumberFormat="1" applyFont="1" applyBorder="1"/>
    <xf numFmtId="0" fontId="3" fillId="2" borderId="15" xfId="0" applyFont="1" applyFill="1" applyBorder="1"/>
    <xf numFmtId="0" fontId="1" fillId="0" borderId="17" xfId="0" applyFont="1" applyBorder="1"/>
    <xf numFmtId="4" fontId="0" fillId="0" borderId="18" xfId="0" applyNumberFormat="1" applyBorder="1"/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2" fontId="0" fillId="0" borderId="16" xfId="0" applyNumberFormat="1" applyBorder="1"/>
    <xf numFmtId="2" fontId="0" fillId="3" borderId="14" xfId="0" applyNumberFormat="1" applyFill="1" applyBorder="1" applyAlignment="1">
      <alignment horizontal="right"/>
    </xf>
    <xf numFmtId="2" fontId="0" fillId="3" borderId="16" xfId="0" applyNumberFormat="1" applyFill="1" applyBorder="1"/>
    <xf numFmtId="2" fontId="0" fillId="0" borderId="14" xfId="0" applyNumberFormat="1" applyBorder="1" applyAlignment="1">
      <alignment horizontal="right"/>
    </xf>
    <xf numFmtId="2" fontId="0" fillId="0" borderId="14" xfId="0" applyNumberFormat="1" applyFill="1" applyBorder="1"/>
    <xf numFmtId="2" fontId="0" fillId="0" borderId="16" xfId="0" applyNumberFormat="1" applyFill="1" applyBorder="1"/>
    <xf numFmtId="0" fontId="0" fillId="0" borderId="19" xfId="0" applyBorder="1"/>
    <xf numFmtId="2" fontId="1" fillId="0" borderId="18" xfId="0" applyNumberFormat="1" applyFont="1" applyBorder="1"/>
    <xf numFmtId="2" fontId="1" fillId="0" borderId="19" xfId="0" applyNumberFormat="1" applyFont="1" applyBorder="1"/>
    <xf numFmtId="2" fontId="0" fillId="3" borderId="14" xfId="0" applyNumberFormat="1" applyFill="1" applyBorder="1"/>
    <xf numFmtId="0" fontId="3" fillId="0" borderId="0" xfId="0" applyFont="1"/>
    <xf numFmtId="4" fontId="9" fillId="0" borderId="14" xfId="0" applyNumberFormat="1" applyFont="1" applyBorder="1" applyAlignment="1">
      <alignment horizontal="center"/>
    </xf>
    <xf numFmtId="4" fontId="0" fillId="0" borderId="1" xfId="0" applyNumberFormat="1" applyBorder="1"/>
    <xf numFmtId="4" fontId="4" fillId="0" borderId="14" xfId="0" applyNumberFormat="1" applyFont="1" applyBorder="1" applyAlignment="1">
      <alignment horizontal="center"/>
    </xf>
    <xf numFmtId="0" fontId="1" fillId="0" borderId="20" xfId="0" applyFont="1" applyBorder="1"/>
    <xf numFmtId="4" fontId="4" fillId="0" borderId="16" xfId="0" applyNumberFormat="1" applyFont="1" applyBorder="1" applyAlignment="1">
      <alignment horizontal="center"/>
    </xf>
    <xf numFmtId="0" fontId="4" fillId="0" borderId="15" xfId="0" applyFont="1" applyFill="1" applyBorder="1"/>
    <xf numFmtId="4" fontId="9" fillId="0" borderId="16" xfId="0" applyNumberFormat="1" applyFont="1" applyBorder="1" applyAlignment="1">
      <alignment horizontal="center"/>
    </xf>
    <xf numFmtId="4" fontId="4" fillId="0" borderId="21" xfId="0" applyNumberFormat="1" applyFont="1" applyBorder="1" applyAlignment="1">
      <alignment horizontal="center"/>
    </xf>
    <xf numFmtId="4" fontId="0" fillId="0" borderId="32" xfId="0" applyNumberFormat="1" applyBorder="1"/>
    <xf numFmtId="4" fontId="5" fillId="4" borderId="31" xfId="0" applyNumberFormat="1" applyFont="1" applyFill="1" applyBorder="1"/>
    <xf numFmtId="4" fontId="5" fillId="4" borderId="14" xfId="0" applyNumberFormat="1" applyFont="1" applyFill="1" applyBorder="1"/>
    <xf numFmtId="0" fontId="5" fillId="4" borderId="15" xfId="0" applyFont="1" applyFill="1" applyBorder="1"/>
    <xf numFmtId="0" fontId="5" fillId="0" borderId="15" xfId="0" applyFont="1" applyFill="1" applyBorder="1"/>
    <xf numFmtId="4" fontId="5" fillId="0" borderId="0" xfId="0" applyNumberFormat="1" applyFont="1" applyFill="1" applyBorder="1"/>
    <xf numFmtId="0" fontId="5" fillId="0" borderId="20" xfId="0" applyFont="1" applyBorder="1"/>
    <xf numFmtId="0" fontId="4" fillId="0" borderId="22" xfId="0" applyFont="1" applyBorder="1"/>
    <xf numFmtId="49" fontId="4" fillId="0" borderId="15" xfId="0" applyNumberFormat="1" applyFont="1" applyBorder="1" applyAlignment="1">
      <alignment horizontal="right"/>
    </xf>
    <xf numFmtId="4" fontId="13" fillId="0" borderId="16" xfId="0" applyNumberFormat="1" applyFont="1" applyBorder="1" applyAlignment="1">
      <alignment horizontal="right"/>
    </xf>
    <xf numFmtId="0" fontId="5" fillId="0" borderId="15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4" fontId="5" fillId="3" borderId="19" xfId="0" applyNumberFormat="1" applyFont="1" applyFill="1" applyBorder="1"/>
    <xf numFmtId="0" fontId="4" fillId="0" borderId="16" xfId="0" applyFont="1" applyBorder="1"/>
    <xf numFmtId="4" fontId="5" fillId="0" borderId="16" xfId="0" applyNumberFormat="1" applyFont="1" applyFill="1" applyBorder="1"/>
    <xf numFmtId="0" fontId="7" fillId="0" borderId="15" xfId="0" applyFont="1" applyBorder="1"/>
    <xf numFmtId="10" fontId="7" fillId="0" borderId="16" xfId="0" applyNumberFormat="1" applyFont="1" applyBorder="1" applyAlignment="1">
      <alignment horizontal="center"/>
    </xf>
    <xf numFmtId="49" fontId="4" fillId="0" borderId="15" xfId="0" applyNumberFormat="1" applyFont="1" applyBorder="1" applyAlignment="1">
      <alignment horizontal="left"/>
    </xf>
    <xf numFmtId="10" fontId="4" fillId="0" borderId="16" xfId="0" applyNumberFormat="1" applyFont="1" applyBorder="1" applyAlignment="1">
      <alignment horizontal="center"/>
    </xf>
    <xf numFmtId="4" fontId="5" fillId="0" borderId="16" xfId="0" applyNumberFormat="1" applyFont="1" applyBorder="1" applyAlignment="1">
      <alignment horizontal="center"/>
    </xf>
    <xf numFmtId="0" fontId="5" fillId="0" borderId="17" xfId="0" applyFont="1" applyFill="1" applyBorder="1"/>
    <xf numFmtId="4" fontId="5" fillId="0" borderId="19" xfId="0" applyNumberFormat="1" applyFont="1" applyBorder="1" applyAlignment="1">
      <alignment horizontal="center"/>
    </xf>
    <xf numFmtId="0" fontId="5" fillId="0" borderId="34" xfId="0" applyFont="1" applyBorder="1"/>
    <xf numFmtId="4" fontId="5" fillId="0" borderId="35" xfId="0" applyNumberFormat="1" applyFont="1" applyBorder="1" applyAlignment="1">
      <alignment horizontal="center"/>
    </xf>
    <xf numFmtId="0" fontId="7" fillId="0" borderId="20" xfId="0" applyFont="1" applyBorder="1"/>
    <xf numFmtId="4" fontId="7" fillId="0" borderId="22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4" fillId="0" borderId="14" xfId="0" applyFont="1" applyBorder="1"/>
    <xf numFmtId="0" fontId="4" fillId="0" borderId="14" xfId="0" applyFont="1" applyBorder="1" applyAlignment="1">
      <alignment horizontal="center"/>
    </xf>
    <xf numFmtId="1" fontId="4" fillId="0" borderId="14" xfId="0" applyNumberFormat="1" applyFont="1" applyBorder="1" applyAlignment="1">
      <alignment horizontal="center"/>
    </xf>
    <xf numFmtId="1" fontId="4" fillId="0" borderId="14" xfId="0" applyNumberFormat="1" applyFont="1" applyFill="1" applyBorder="1" applyAlignment="1">
      <alignment horizontal="center"/>
    </xf>
    <xf numFmtId="0" fontId="5" fillId="0" borderId="14" xfId="0" applyFont="1" applyBorder="1"/>
    <xf numFmtId="0" fontId="4" fillId="0" borderId="14" xfId="0" applyFont="1" applyBorder="1" applyAlignment="1">
      <alignment horizontal="left"/>
    </xf>
    <xf numFmtId="0" fontId="4" fillId="0" borderId="14" xfId="0" applyFont="1" applyBorder="1" applyAlignment="1">
      <alignment vertical="center" wrapText="1"/>
    </xf>
    <xf numFmtId="2" fontId="4" fillId="0" borderId="14" xfId="0" applyNumberFormat="1" applyFont="1" applyBorder="1" applyAlignment="1">
      <alignment horizontal="center"/>
    </xf>
    <xf numFmtId="2" fontId="4" fillId="0" borderId="14" xfId="0" applyNumberFormat="1" applyFont="1" applyBorder="1"/>
    <xf numFmtId="0" fontId="5" fillId="0" borderId="14" xfId="0" applyFont="1" applyBorder="1" applyAlignment="1">
      <alignment vertical="center" wrapText="1"/>
    </xf>
    <xf numFmtId="2" fontId="4" fillId="0" borderId="14" xfId="0" applyNumberFormat="1" applyFont="1" applyBorder="1" applyAlignment="1">
      <alignment horizontal="right"/>
    </xf>
    <xf numFmtId="0" fontId="4" fillId="0" borderId="14" xfId="0" applyFont="1" applyBorder="1" applyAlignment="1">
      <alignment horizontal="right"/>
    </xf>
    <xf numFmtId="9" fontId="7" fillId="0" borderId="14" xfId="0" applyNumberFormat="1" applyFont="1" applyBorder="1" applyAlignment="1">
      <alignment horizontal="center"/>
    </xf>
    <xf numFmtId="2" fontId="7" fillId="0" borderId="14" xfId="0" applyNumberFormat="1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7" fillId="0" borderId="14" xfId="0" applyFont="1" applyBorder="1"/>
    <xf numFmtId="4" fontId="6" fillId="0" borderId="14" xfId="0" applyNumberFormat="1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3" fontId="6" fillId="0" borderId="14" xfId="0" applyNumberFormat="1" applyFont="1" applyBorder="1" applyAlignment="1">
      <alignment horizontal="center"/>
    </xf>
    <xf numFmtId="0" fontId="0" fillId="0" borderId="33" xfId="0" applyBorder="1"/>
    <xf numFmtId="0" fontId="12" fillId="0" borderId="16" xfId="0" applyFont="1" applyBorder="1" applyAlignment="1">
      <alignment horizontal="center"/>
    </xf>
    <xf numFmtId="0" fontId="9" fillId="0" borderId="33" xfId="0" applyFont="1" applyBorder="1"/>
    <xf numFmtId="4" fontId="5" fillId="0" borderId="14" xfId="0" applyNumberFormat="1" applyFont="1" applyFill="1" applyBorder="1"/>
    <xf numFmtId="1" fontId="16" fillId="0" borderId="14" xfId="0" applyNumberFormat="1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165" fontId="0" fillId="0" borderId="14" xfId="1" applyNumberFormat="1" applyFont="1" applyBorder="1" applyAlignment="1">
      <alignment horizontal="center"/>
    </xf>
    <xf numFmtId="4" fontId="0" fillId="0" borderId="14" xfId="1" applyNumberFormat="1" applyFont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0" fillId="0" borderId="15" xfId="0" applyBorder="1" applyAlignment="1">
      <alignment horizontal="center"/>
    </xf>
    <xf numFmtId="10" fontId="0" fillId="0" borderId="16" xfId="2" applyNumberFormat="1" applyFont="1" applyBorder="1" applyAlignment="1">
      <alignment horizontal="center"/>
    </xf>
    <xf numFmtId="0" fontId="0" fillId="0" borderId="17" xfId="0" applyBorder="1" applyAlignment="1">
      <alignment horizontal="center"/>
    </xf>
    <xf numFmtId="165" fontId="0" fillId="0" borderId="18" xfId="1" applyNumberFormat="1" applyFont="1" applyBorder="1" applyAlignment="1">
      <alignment horizontal="center"/>
    </xf>
    <xf numFmtId="4" fontId="0" fillId="0" borderId="18" xfId="1" applyNumberFormat="1" applyFont="1" applyBorder="1" applyAlignment="1">
      <alignment horizontal="center"/>
    </xf>
    <xf numFmtId="10" fontId="0" fillId="0" borderId="19" xfId="2" applyNumberFormat="1" applyFont="1" applyBorder="1" applyAlignment="1">
      <alignment horizontal="center"/>
    </xf>
    <xf numFmtId="43" fontId="0" fillId="0" borderId="14" xfId="1" applyFont="1" applyBorder="1"/>
    <xf numFmtId="10" fontId="0" fillId="0" borderId="14" xfId="2" applyNumberFormat="1" applyFont="1" applyBorder="1"/>
    <xf numFmtId="0" fontId="3" fillId="0" borderId="16" xfId="0" applyFont="1" applyBorder="1"/>
    <xf numFmtId="10" fontId="0" fillId="0" borderId="18" xfId="2" applyNumberFormat="1" applyFont="1" applyBorder="1"/>
    <xf numFmtId="0" fontId="3" fillId="0" borderId="19" xfId="0" applyFont="1" applyBorder="1"/>
    <xf numFmtId="4" fontId="0" fillId="0" borderId="14" xfId="0" applyNumberFormat="1" applyBorder="1" applyAlignment="1">
      <alignment horizontal="center"/>
    </xf>
    <xf numFmtId="43" fontId="0" fillId="0" borderId="33" xfId="1" applyFont="1" applyBorder="1"/>
    <xf numFmtId="43" fontId="3" fillId="0" borderId="33" xfId="1" applyFont="1" applyBorder="1"/>
    <xf numFmtId="43" fontId="19" fillId="0" borderId="33" xfId="1" applyFont="1" applyBorder="1"/>
    <xf numFmtId="2" fontId="0" fillId="0" borderId="14" xfId="0" applyNumberFormat="1" applyBorder="1" applyAlignment="1">
      <alignment horizontal="center"/>
    </xf>
    <xf numFmtId="4" fontId="0" fillId="0" borderId="16" xfId="0" applyNumberFormat="1" applyBorder="1" applyAlignment="1">
      <alignment horizontal="center"/>
    </xf>
    <xf numFmtId="0" fontId="3" fillId="0" borderId="15" xfId="0" applyFont="1" applyBorder="1"/>
    <xf numFmtId="2" fontId="0" fillId="0" borderId="16" xfId="0" applyNumberFormat="1" applyBorder="1" applyAlignment="1">
      <alignment horizontal="center"/>
    </xf>
    <xf numFmtId="0" fontId="5" fillId="0" borderId="33" xfId="0" applyFont="1" applyBorder="1"/>
    <xf numFmtId="0" fontId="5" fillId="0" borderId="33" xfId="0" applyFont="1" applyFill="1" applyBorder="1" applyAlignment="1">
      <alignment horizontal="left"/>
    </xf>
    <xf numFmtId="0" fontId="11" fillId="0" borderId="33" xfId="0" applyFont="1" applyBorder="1"/>
    <xf numFmtId="0" fontId="11" fillId="0" borderId="33" xfId="0" applyFont="1" applyBorder="1" applyAlignment="1">
      <alignment vertical="center" wrapText="1"/>
    </xf>
    <xf numFmtId="0" fontId="9" fillId="0" borderId="33" xfId="0" applyFont="1" applyBorder="1" applyAlignment="1">
      <alignment vertical="center"/>
    </xf>
    <xf numFmtId="0" fontId="5" fillId="0" borderId="36" xfId="0" applyFont="1" applyBorder="1"/>
    <xf numFmtId="0" fontId="9" fillId="0" borderId="14" xfId="0" applyFont="1" applyBorder="1" applyAlignment="1">
      <alignment horizontal="center" vertical="center" wrapText="1"/>
    </xf>
    <xf numFmtId="2" fontId="12" fillId="0" borderId="14" xfId="0" applyNumberFormat="1" applyFont="1" applyBorder="1" applyAlignment="1">
      <alignment horizontal="center"/>
    </xf>
    <xf numFmtId="9" fontId="12" fillId="0" borderId="14" xfId="0" applyNumberFormat="1" applyFont="1" applyBorder="1" applyAlignment="1">
      <alignment horizontal="center"/>
    </xf>
    <xf numFmtId="0" fontId="12" fillId="0" borderId="14" xfId="0" applyFont="1" applyBorder="1"/>
    <xf numFmtId="9" fontId="9" fillId="0" borderId="14" xfId="0" applyNumberFormat="1" applyFont="1" applyBorder="1" applyAlignment="1">
      <alignment horizontal="center"/>
    </xf>
    <xf numFmtId="1" fontId="12" fillId="0" borderId="14" xfId="0" applyNumberFormat="1" applyFont="1" applyBorder="1" applyAlignment="1">
      <alignment horizontal="center"/>
    </xf>
    <xf numFmtId="1" fontId="9" fillId="0" borderId="14" xfId="0" applyNumberFormat="1" applyFont="1" applyBorder="1" applyAlignment="1">
      <alignment horizontal="center"/>
    </xf>
    <xf numFmtId="10" fontId="12" fillId="0" borderId="14" xfId="0" applyNumberFormat="1" applyFont="1" applyBorder="1" applyAlignment="1">
      <alignment horizontal="center"/>
    </xf>
    <xf numFmtId="0" fontId="10" fillId="0" borderId="14" xfId="0" applyFont="1" applyBorder="1"/>
    <xf numFmtId="0" fontId="9" fillId="0" borderId="15" xfId="0" applyFont="1" applyBorder="1" applyAlignment="1">
      <alignment vertical="center" wrapText="1"/>
    </xf>
    <xf numFmtId="0" fontId="9" fillId="0" borderId="16" xfId="0" applyFont="1" applyBorder="1" applyAlignment="1">
      <alignment horizontal="center" vertical="center" wrapText="1"/>
    </xf>
    <xf numFmtId="2" fontId="12" fillId="0" borderId="16" xfId="0" applyNumberFormat="1" applyFont="1" applyBorder="1" applyAlignment="1">
      <alignment horizontal="center"/>
    </xf>
    <xf numFmtId="9" fontId="12" fillId="0" borderId="16" xfId="0" applyNumberFormat="1" applyFont="1" applyBorder="1" applyAlignment="1">
      <alignment horizontal="center"/>
    </xf>
    <xf numFmtId="0" fontId="12" fillId="0" borderId="16" xfId="0" applyFont="1" applyBorder="1"/>
    <xf numFmtId="9" fontId="9" fillId="0" borderId="16" xfId="0" applyNumberFormat="1" applyFont="1" applyBorder="1" applyAlignment="1">
      <alignment horizontal="center"/>
    </xf>
    <xf numFmtId="1" fontId="12" fillId="0" borderId="16" xfId="0" applyNumberFormat="1" applyFont="1" applyBorder="1" applyAlignment="1">
      <alignment horizontal="center"/>
    </xf>
    <xf numFmtId="1" fontId="9" fillId="0" borderId="16" xfId="0" applyNumberFormat="1" applyFont="1" applyBorder="1" applyAlignment="1">
      <alignment horizontal="center"/>
    </xf>
    <xf numFmtId="0" fontId="10" fillId="0" borderId="16" xfId="0" applyFont="1" applyBorder="1"/>
    <xf numFmtId="2" fontId="12" fillId="0" borderId="18" xfId="0" applyNumberFormat="1" applyFont="1" applyBorder="1" applyAlignment="1">
      <alignment horizontal="center"/>
    </xf>
    <xf numFmtId="2" fontId="12" fillId="0" borderId="19" xfId="0" applyNumberFormat="1" applyFont="1" applyBorder="1" applyAlignment="1">
      <alignment horizontal="center"/>
    </xf>
    <xf numFmtId="2" fontId="0" fillId="0" borderId="15" xfId="0" applyNumberFormat="1" applyBorder="1"/>
    <xf numFmtId="2" fontId="0" fillId="0" borderId="15" xfId="0" applyNumberFormat="1" applyBorder="1" applyAlignment="1">
      <alignment horizontal="left"/>
    </xf>
    <xf numFmtId="2" fontId="1" fillId="0" borderId="15" xfId="0" applyNumberFormat="1" applyFont="1" applyBorder="1"/>
    <xf numFmtId="2" fontId="1" fillId="0" borderId="17" xfId="0" applyNumberFormat="1" applyFont="1" applyBorder="1"/>
    <xf numFmtId="0" fontId="3" fillId="0" borderId="0" xfId="0" applyFont="1" applyFill="1" applyBorder="1"/>
    <xf numFmtId="0" fontId="4" fillId="0" borderId="43" xfId="0" applyFont="1" applyBorder="1" applyAlignment="1">
      <alignment horizontal="center" vertical="center" wrapText="1"/>
    </xf>
    <xf numFmtId="0" fontId="0" fillId="0" borderId="43" xfId="0" applyBorder="1"/>
    <xf numFmtId="4" fontId="9" fillId="0" borderId="43" xfId="0" applyNumberFormat="1" applyFont="1" applyBorder="1" applyAlignment="1">
      <alignment horizontal="center"/>
    </xf>
    <xf numFmtId="4" fontId="9" fillId="0" borderId="43" xfId="0" applyNumberFormat="1" applyFont="1" applyFill="1" applyBorder="1" applyAlignment="1">
      <alignment horizontal="center"/>
    </xf>
    <xf numFmtId="2" fontId="9" fillId="0" borderId="43" xfId="0" applyNumberFormat="1" applyFont="1" applyBorder="1" applyAlignment="1">
      <alignment horizontal="center"/>
    </xf>
    <xf numFmtId="2" fontId="5" fillId="0" borderId="43" xfId="0" applyNumberFormat="1" applyFont="1" applyBorder="1" applyAlignment="1">
      <alignment horizontal="center"/>
    </xf>
    <xf numFmtId="0" fontId="9" fillId="0" borderId="43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2" fontId="5" fillId="0" borderId="12" xfId="0" applyNumberFormat="1" applyFont="1" applyBorder="1"/>
    <xf numFmtId="2" fontId="4" fillId="0" borderId="7" xfId="0" applyNumberFormat="1" applyFont="1" applyBorder="1"/>
    <xf numFmtId="2" fontId="4" fillId="0" borderId="4" xfId="0" applyNumberFormat="1" applyFont="1" applyBorder="1"/>
    <xf numFmtId="2" fontId="4" fillId="0" borderId="8" xfId="0" applyNumberFormat="1" applyFont="1" applyBorder="1"/>
    <xf numFmtId="4" fontId="5" fillId="0" borderId="0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32" xfId="0" applyFont="1" applyBorder="1" applyAlignment="1"/>
    <xf numFmtId="0" fontId="4" fillId="0" borderId="16" xfId="0" applyFont="1" applyBorder="1" applyAlignment="1">
      <alignment horizontal="center"/>
    </xf>
    <xf numFmtId="0" fontId="4" fillId="5" borderId="14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4" fillId="6" borderId="14" xfId="0" applyFont="1" applyFill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 wrapText="1"/>
    </xf>
    <xf numFmtId="0" fontId="4" fillId="0" borderId="38" xfId="0" applyFont="1" applyBorder="1"/>
    <xf numFmtId="0" fontId="4" fillId="0" borderId="33" xfId="0" applyFont="1" applyBorder="1"/>
    <xf numFmtId="0" fontId="4" fillId="0" borderId="39" xfId="0" applyFont="1" applyBorder="1"/>
    <xf numFmtId="0" fontId="4" fillId="0" borderId="33" xfId="0" applyFont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7" fillId="0" borderId="39" xfId="0" applyFont="1" applyBorder="1"/>
    <xf numFmtId="0" fontId="7" fillId="0" borderId="33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5" fillId="0" borderId="40" xfId="0" applyFont="1" applyBorder="1"/>
    <xf numFmtId="0" fontId="4" fillId="0" borderId="3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4" fontId="4" fillId="0" borderId="0" xfId="0" applyNumberFormat="1" applyFont="1" applyBorder="1" applyAlignment="1">
      <alignment vertic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4" fontId="2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2" fontId="0" fillId="0" borderId="0" xfId="0" applyNumberFormat="1" applyAlignment="1">
      <alignment horizontal="center" vertical="center"/>
    </xf>
    <xf numFmtId="0" fontId="0" fillId="0" borderId="47" xfId="0" applyBorder="1"/>
    <xf numFmtId="4" fontId="0" fillId="0" borderId="48" xfId="0" applyNumberFormat="1" applyBorder="1"/>
    <xf numFmtId="10" fontId="0" fillId="0" borderId="48" xfId="0" applyNumberFormat="1" applyBorder="1"/>
    <xf numFmtId="2" fontId="0" fillId="0" borderId="48" xfId="0" applyNumberFormat="1" applyBorder="1"/>
    <xf numFmtId="0" fontId="0" fillId="0" borderId="47" xfId="0" applyBorder="1" applyAlignment="1">
      <alignment wrapText="1"/>
    </xf>
    <xf numFmtId="2" fontId="0" fillId="0" borderId="48" xfId="0" applyNumberFormat="1" applyBorder="1" applyAlignment="1">
      <alignment horizontal="center" vertical="center"/>
    </xf>
    <xf numFmtId="0" fontId="0" fillId="0" borderId="49" xfId="0" applyBorder="1" applyAlignment="1">
      <alignment wrapText="1"/>
    </xf>
    <xf numFmtId="0" fontId="0" fillId="0" borderId="50" xfId="0" applyBorder="1" applyAlignment="1">
      <alignment horizontal="center" vertical="center"/>
    </xf>
    <xf numFmtId="0" fontId="0" fillId="0" borderId="50" xfId="0" applyBorder="1"/>
    <xf numFmtId="10" fontId="0" fillId="0" borderId="51" xfId="0" applyNumberFormat="1" applyBorder="1" applyAlignment="1">
      <alignment horizontal="center"/>
    </xf>
    <xf numFmtId="0" fontId="21" fillId="0" borderId="45" xfId="0" applyFont="1" applyBorder="1" applyAlignment="1">
      <alignment horizontal="center" vertical="center"/>
    </xf>
    <xf numFmtId="0" fontId="21" fillId="0" borderId="46" xfId="0" applyFont="1" applyBorder="1" applyAlignment="1">
      <alignment horizontal="center" vertical="center"/>
    </xf>
    <xf numFmtId="4" fontId="0" fillId="0" borderId="0" xfId="0" applyNumberFormat="1" applyBorder="1"/>
    <xf numFmtId="10" fontId="0" fillId="0" borderId="0" xfId="0" applyNumberFormat="1" applyBorder="1"/>
    <xf numFmtId="2" fontId="0" fillId="0" borderId="0" xfId="0" applyNumberFormat="1" applyBorder="1"/>
    <xf numFmtId="2" fontId="0" fillId="0" borderId="0" xfId="0" applyNumberFormat="1" applyBorder="1" applyAlignment="1">
      <alignment horizontal="center" vertical="center"/>
    </xf>
    <xf numFmtId="10" fontId="0" fillId="0" borderId="0" xfId="0" applyNumberFormat="1" applyBorder="1" applyAlignment="1">
      <alignment horizontal="center"/>
    </xf>
    <xf numFmtId="4" fontId="4" fillId="0" borderId="14" xfId="0" applyNumberFormat="1" applyFont="1" applyBorder="1" applyAlignment="1">
      <alignment horizontal="right"/>
    </xf>
    <xf numFmtId="4" fontId="9" fillId="0" borderId="14" xfId="0" applyNumberFormat="1" applyFont="1" applyBorder="1" applyAlignment="1"/>
    <xf numFmtId="1" fontId="5" fillId="0" borderId="14" xfId="0" applyNumberFormat="1" applyFont="1" applyBorder="1" applyAlignment="1">
      <alignment horizontal="center" vertical="center"/>
    </xf>
    <xf numFmtId="2" fontId="5" fillId="0" borderId="14" xfId="0" applyNumberFormat="1" applyFont="1" applyBorder="1" applyAlignment="1">
      <alignment horizontal="center" vertical="center"/>
    </xf>
    <xf numFmtId="2" fontId="4" fillId="0" borderId="14" xfId="0" applyNumberFormat="1" applyFont="1" applyBorder="1" applyAlignment="1">
      <alignment horizontal="center" vertical="center"/>
    </xf>
    <xf numFmtId="1" fontId="16" fillId="0" borderId="14" xfId="0" applyNumberFormat="1" applyFont="1" applyBorder="1" applyAlignment="1">
      <alignment horizontal="center" vertical="center"/>
    </xf>
    <xf numFmtId="9" fontId="12" fillId="0" borderId="14" xfId="0" applyNumberFormat="1" applyFont="1" applyBorder="1" applyAlignment="1">
      <alignment horizontal="center"/>
    </xf>
    <xf numFmtId="9" fontId="12" fillId="0" borderId="16" xfId="0" applyNumberFormat="1" applyFont="1" applyBorder="1" applyAlignment="1">
      <alignment horizontal="center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10" fontId="12" fillId="0" borderId="14" xfId="0" applyNumberFormat="1" applyFont="1" applyBorder="1" applyAlignment="1">
      <alignment horizontal="center"/>
    </xf>
    <xf numFmtId="10" fontId="12" fillId="0" borderId="16" xfId="0" applyNumberFormat="1" applyFont="1" applyBorder="1" applyAlignment="1">
      <alignment horizontal="center"/>
    </xf>
    <xf numFmtId="1" fontId="16" fillId="0" borderId="14" xfId="0" applyNumberFormat="1" applyFont="1" applyBorder="1" applyAlignment="1">
      <alignment horizontal="center"/>
    </xf>
    <xf numFmtId="1" fontId="16" fillId="0" borderId="16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4" fontId="6" fillId="0" borderId="14" xfId="0" applyNumberFormat="1" applyFont="1" applyBorder="1" applyAlignment="1">
      <alignment horizontal="center"/>
    </xf>
    <xf numFmtId="3" fontId="6" fillId="0" borderId="14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2" fontId="1" fillId="0" borderId="15" xfId="0" applyNumberFormat="1" applyFont="1" applyBorder="1" applyAlignment="1">
      <alignment horizontal="center"/>
    </xf>
    <xf numFmtId="2" fontId="1" fillId="0" borderId="14" xfId="0" applyNumberFormat="1" applyFont="1" applyBorder="1" applyAlignment="1">
      <alignment horizontal="center"/>
    </xf>
    <xf numFmtId="2" fontId="1" fillId="0" borderId="16" xfId="0" applyNumberFormat="1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43" fontId="3" fillId="0" borderId="36" xfId="1" applyFont="1" applyBorder="1" applyAlignment="1">
      <alignment horizontal="center"/>
    </xf>
    <xf numFmtId="43" fontId="3" fillId="0" borderId="18" xfId="1" applyFont="1" applyBorder="1" applyAlignment="1">
      <alignment horizontal="center"/>
    </xf>
    <xf numFmtId="14" fontId="18" fillId="0" borderId="41" xfId="0" applyNumberFormat="1" applyFont="1" applyBorder="1" applyAlignment="1">
      <alignment horizontal="center"/>
    </xf>
    <xf numFmtId="14" fontId="18" fillId="0" borderId="42" xfId="0" applyNumberFormat="1" applyFont="1" applyBorder="1" applyAlignment="1">
      <alignment horizontal="center"/>
    </xf>
    <xf numFmtId="4" fontId="0" fillId="0" borderId="14" xfId="0" applyNumberFormat="1" applyBorder="1" applyAlignment="1">
      <alignment horizontal="center"/>
    </xf>
    <xf numFmtId="4" fontId="0" fillId="0" borderId="16" xfId="0" applyNumberFormat="1" applyBorder="1" applyAlignment="1">
      <alignment horizontal="center"/>
    </xf>
    <xf numFmtId="4" fontId="1" fillId="0" borderId="14" xfId="0" applyNumberFormat="1" applyFont="1" applyBorder="1" applyAlignment="1">
      <alignment horizontal="center"/>
    </xf>
    <xf numFmtId="4" fontId="1" fillId="0" borderId="16" xfId="0" applyNumberFormat="1" applyFont="1" applyBorder="1" applyAlignment="1">
      <alignment horizontal="center"/>
    </xf>
    <xf numFmtId="10" fontId="0" fillId="0" borderId="14" xfId="0" applyNumberFormat="1" applyBorder="1" applyAlignment="1">
      <alignment horizontal="center"/>
    </xf>
    <xf numFmtId="10" fontId="0" fillId="0" borderId="16" xfId="0" applyNumberFormat="1" applyBorder="1" applyAlignment="1">
      <alignment horizontal="center"/>
    </xf>
    <xf numFmtId="2" fontId="1" fillId="0" borderId="18" xfId="0" applyNumberFormat="1" applyFont="1" applyBorder="1" applyAlignment="1">
      <alignment horizontal="center"/>
    </xf>
    <xf numFmtId="2" fontId="1" fillId="0" borderId="19" xfId="0" applyNumberFormat="1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1" fillId="0" borderId="44" xfId="0" applyFont="1" applyBorder="1" applyAlignment="1">
      <alignment horizontal="center" vertical="center"/>
    </xf>
    <xf numFmtId="0" fontId="21" fillId="0" borderId="45" xfId="0" applyFont="1" applyBorder="1" applyAlignment="1">
      <alignment horizontal="center" vertical="center"/>
    </xf>
    <xf numFmtId="0" fontId="25" fillId="0" borderId="14" xfId="0" applyFont="1" applyBorder="1"/>
    <xf numFmtId="2" fontId="25" fillId="0" borderId="14" xfId="0" applyNumberFormat="1" applyFont="1" applyBorder="1"/>
    <xf numFmtId="2" fontId="16" fillId="0" borderId="14" xfId="0" applyNumberFormat="1" applyFont="1" applyBorder="1"/>
    <xf numFmtId="2" fontId="7" fillId="0" borderId="14" xfId="0" applyNumberFormat="1" applyFont="1" applyBorder="1"/>
    <xf numFmtId="1" fontId="7" fillId="0" borderId="14" xfId="0" applyNumberFormat="1" applyFont="1" applyBorder="1"/>
    <xf numFmtId="1" fontId="4" fillId="0" borderId="14" xfId="0" applyNumberFormat="1" applyFont="1" applyBorder="1"/>
    <xf numFmtId="1" fontId="7" fillId="0" borderId="2" xfId="0" applyNumberFormat="1" applyFont="1" applyBorder="1" applyAlignment="1">
      <alignment horizontal="center"/>
    </xf>
    <xf numFmtId="1" fontId="7" fillId="0" borderId="3" xfId="0" applyNumberFormat="1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1" fontId="4" fillId="0" borderId="3" xfId="0" applyNumberFormat="1" applyFont="1" applyBorder="1" applyAlignment="1">
      <alignment horizontal="center"/>
    </xf>
    <xf numFmtId="2" fontId="4" fillId="0" borderId="11" xfId="0" applyNumberFormat="1" applyFont="1" applyBorder="1"/>
    <xf numFmtId="2" fontId="5" fillId="0" borderId="6" xfId="0" applyNumberFormat="1" applyFont="1" applyBorder="1"/>
    <xf numFmtId="2" fontId="5" fillId="0" borderId="4" xfId="0" applyNumberFormat="1" applyFont="1" applyBorder="1"/>
    <xf numFmtId="2" fontId="4" fillId="0" borderId="12" xfId="0" applyNumberFormat="1" applyFont="1" applyBorder="1"/>
    <xf numFmtId="2" fontId="5" fillId="0" borderId="4" xfId="0" applyNumberFormat="1" applyFont="1" applyBorder="1" applyAlignment="1">
      <alignment horizontal="center"/>
    </xf>
    <xf numFmtId="2" fontId="4" fillId="0" borderId="6" xfId="0" applyNumberFormat="1" applyFont="1" applyBorder="1"/>
    <xf numFmtId="2" fontId="5" fillId="0" borderId="6" xfId="0" applyNumberFormat="1" applyFont="1" applyBorder="1" applyAlignment="1">
      <alignment horizontal="center"/>
    </xf>
    <xf numFmtId="0" fontId="4" fillId="0" borderId="43" xfId="0" applyFont="1" applyBorder="1"/>
    <xf numFmtId="2" fontId="4" fillId="0" borderId="43" xfId="0" applyNumberFormat="1" applyFont="1" applyBorder="1"/>
    <xf numFmtId="1" fontId="4" fillId="0" borderId="43" xfId="0" applyNumberFormat="1" applyFont="1" applyBorder="1" applyAlignment="1">
      <alignment horizontal="center"/>
    </xf>
    <xf numFmtId="3" fontId="4" fillId="0" borderId="43" xfId="0" applyNumberFormat="1" applyFont="1" applyBorder="1"/>
    <xf numFmtId="2" fontId="4" fillId="0" borderId="9" xfId="0" applyNumberFormat="1" applyFont="1" applyBorder="1"/>
    <xf numFmtId="2" fontId="4" fillId="0" borderId="10" xfId="0" applyNumberFormat="1" applyFont="1" applyBorder="1"/>
    <xf numFmtId="2" fontId="5" fillId="0" borderId="43" xfId="0" applyNumberFormat="1" applyFont="1" applyBorder="1"/>
    <xf numFmtId="0" fontId="4" fillId="0" borderId="5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31" xfId="0" applyFont="1" applyBorder="1"/>
    <xf numFmtId="0" fontId="0" fillId="0" borderId="5" xfId="0" applyBorder="1"/>
    <xf numFmtId="4" fontId="4" fillId="0" borderId="2" xfId="0" applyNumberFormat="1" applyFont="1" applyFill="1" applyBorder="1" applyAlignment="1">
      <alignment horizontal="center"/>
    </xf>
    <xf numFmtId="4" fontId="4" fillId="0" borderId="0" xfId="0" applyNumberFormat="1" applyFont="1" applyFill="1" applyBorder="1" applyAlignment="1">
      <alignment horizontal="center"/>
    </xf>
    <xf numFmtId="1" fontId="9" fillId="0" borderId="43" xfId="0" applyNumberFormat="1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2" fontId="5" fillId="0" borderId="12" xfId="0" applyNumberFormat="1" applyFont="1" applyBorder="1" applyAlignment="1">
      <alignment horizontal="center"/>
    </xf>
    <xf numFmtId="2" fontId="9" fillId="0" borderId="9" xfId="0" applyNumberFormat="1" applyFont="1" applyBorder="1" applyAlignment="1">
      <alignment horizontal="center"/>
    </xf>
    <xf numFmtId="2" fontId="9" fillId="0" borderId="4" xfId="0" applyNumberFormat="1" applyFont="1" applyBorder="1" applyAlignment="1">
      <alignment horizontal="center"/>
    </xf>
    <xf numFmtId="2" fontId="9" fillId="0" borderId="8" xfId="0" applyNumberFormat="1" applyFont="1" applyBorder="1" applyAlignment="1">
      <alignment horizontal="center"/>
    </xf>
    <xf numFmtId="2" fontId="9" fillId="0" borderId="10" xfId="0" applyNumberFormat="1" applyFont="1" applyBorder="1" applyAlignment="1">
      <alignment horizontal="center"/>
    </xf>
    <xf numFmtId="2" fontId="16" fillId="0" borderId="3" xfId="0" applyNumberFormat="1" applyFont="1" applyBorder="1"/>
    <xf numFmtId="9" fontId="12" fillId="0" borderId="32" xfId="0" applyNumberFormat="1" applyFont="1" applyBorder="1" applyAlignment="1">
      <alignment horizontal="center"/>
    </xf>
    <xf numFmtId="9" fontId="12" fillId="0" borderId="52" xfId="0" applyNumberFormat="1" applyFont="1" applyBorder="1" applyAlignment="1">
      <alignment horizontal="center"/>
    </xf>
    <xf numFmtId="4" fontId="22" fillId="0" borderId="14" xfId="0" applyNumberFormat="1" applyFont="1" applyBorder="1"/>
    <xf numFmtId="4" fontId="26" fillId="0" borderId="14" xfId="0" applyNumberFormat="1" applyFont="1" applyBorder="1"/>
    <xf numFmtId="4" fontId="26" fillId="0" borderId="16" xfId="0" applyNumberFormat="1" applyFont="1" applyBorder="1"/>
    <xf numFmtId="2" fontId="22" fillId="0" borderId="14" xfId="0" applyNumberFormat="1" applyFont="1" applyBorder="1"/>
    <xf numFmtId="4" fontId="22" fillId="0" borderId="16" xfId="0" applyNumberFormat="1" applyFont="1" applyBorder="1"/>
    <xf numFmtId="4" fontId="3" fillId="0" borderId="33" xfId="0" applyNumberFormat="1" applyFont="1" applyBorder="1"/>
    <xf numFmtId="0" fontId="3" fillId="0" borderId="14" xfId="0" applyFont="1" applyBorder="1"/>
    <xf numFmtId="2" fontId="3" fillId="0" borderId="14" xfId="0" applyNumberFormat="1" applyFont="1" applyBorder="1"/>
  </cellXfs>
  <cellStyles count="11"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Milliers" xfId="1" builtinId="3"/>
    <cellStyle name="Normal" xfId="0" builtinId="0"/>
    <cellStyle name="Pourcentage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5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Résultat d'exploitation = f(PV)</a:t>
            </a:r>
          </a:p>
        </c:rich>
      </c:tx>
      <c:layout>
        <c:manualLayout>
          <c:xMode val="edge"/>
          <c:yMode val="edge"/>
          <c:x val="0.258278145695364"/>
          <c:y val="4.469273743016807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529801324503311"/>
          <c:y val="0.46927374301676"/>
          <c:w val="0.69867549668875106"/>
          <c:h val="0.41899441340782323"/>
        </c:manualLayout>
      </c:layout>
      <c:lineChart>
        <c:grouping val="standard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4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Val val="1"/>
          </c:dLbls>
          <c:cat>
            <c:numRef>
              <c:f>'Tableau simu'!$F$23:$F$31</c:f>
              <c:numCache>
                <c:formatCode>0.00</c:formatCode>
                <c:ptCount val="9"/>
                <c:pt idx="0" formatCode="#,##0.00">
                  <c:v>80000</c:v>
                </c:pt>
                <c:pt idx="1">
                  <c:v>82500</c:v>
                </c:pt>
                <c:pt idx="2">
                  <c:v>85000</c:v>
                </c:pt>
                <c:pt idx="3">
                  <c:v>87500</c:v>
                </c:pt>
                <c:pt idx="4">
                  <c:v>90000</c:v>
                </c:pt>
                <c:pt idx="5">
                  <c:v>92500</c:v>
                </c:pt>
                <c:pt idx="6">
                  <c:v>95000</c:v>
                </c:pt>
                <c:pt idx="7">
                  <c:v>97500</c:v>
                </c:pt>
                <c:pt idx="8">
                  <c:v>100000</c:v>
                </c:pt>
              </c:numCache>
            </c:numRef>
          </c:cat>
          <c:val>
            <c:numRef>
              <c:f>'Tableau simu'!$G$23:$G$31</c:f>
              <c:numCache>
                <c:formatCode>#,##0.00</c:formatCode>
                <c:ptCount val="9"/>
              </c:numCache>
            </c:numRef>
          </c:val>
        </c:ser>
        <c:marker val="1"/>
        <c:axId val="215119360"/>
        <c:axId val="215121280"/>
      </c:lineChart>
      <c:catAx>
        <c:axId val="215119360"/>
        <c:scaling>
          <c:orientation val="minMax"/>
        </c:scaling>
        <c:axPos val="t"/>
        <c:title>
          <c:tx>
            <c:rich>
              <a:bodyPr/>
              <a:lstStyle/>
              <a:p>
                <a:pPr>
                  <a:defRPr sz="4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PV</a:t>
                </a:r>
              </a:p>
            </c:rich>
          </c:tx>
          <c:layout>
            <c:manualLayout>
              <c:xMode val="edge"/>
              <c:yMode val="edge"/>
              <c:x val="0.53311258278145035"/>
              <c:y val="0.21229050279329711"/>
            </c:manualLayout>
          </c:layout>
          <c:spPr>
            <a:noFill/>
            <a:ln w="25400">
              <a:noFill/>
            </a:ln>
          </c:spPr>
        </c:title>
        <c:numFmt formatCode="#,##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4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15121280"/>
        <c:crosses val="max"/>
        <c:auto val="1"/>
        <c:lblAlgn val="ctr"/>
        <c:lblOffset val="100"/>
        <c:tickLblSkip val="1"/>
        <c:tickMarkSkip val="1"/>
      </c:catAx>
      <c:valAx>
        <c:axId val="21512128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4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Résultat</a:t>
                </a:r>
              </a:p>
            </c:rich>
          </c:tx>
          <c:layout>
            <c:manualLayout>
              <c:xMode val="edge"/>
              <c:yMode val="edge"/>
              <c:x val="5.2980132450331119E-2"/>
              <c:y val="0.58659217877093994"/>
            </c:manualLayout>
          </c:layout>
          <c:spPr>
            <a:noFill/>
            <a:ln w="25400">
              <a:noFill/>
            </a:ln>
          </c:spPr>
        </c:title>
        <c:numFmt formatCode="#,##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151193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22" footer="0.4921259845000022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4.151805870891899E-2"/>
          <c:y val="6.1518699847333165E-2"/>
          <c:w val="0.94702999855079772"/>
          <c:h val="0.91516699381058697"/>
        </c:manualLayout>
      </c:layout>
      <c:lineChart>
        <c:grouping val="standard"/>
        <c:ser>
          <c:idx val="0"/>
          <c:order val="0"/>
          <c:dLbls>
            <c:dLbl>
              <c:idx val="2"/>
              <c:layout>
                <c:manualLayout>
                  <c:x val="-4.0899795501022507E-3"/>
                  <c:y val="0.12607449856733621"/>
                </c:manualLayout>
              </c:layout>
              <c:dLblPos val="t"/>
              <c:showVal val="1"/>
            </c:dLbl>
            <c:dLbl>
              <c:idx val="3"/>
              <c:layout>
                <c:manualLayout>
                  <c:x val="-4.9079754601227014E-3"/>
                  <c:y val="8.7870105062082246E-2"/>
                </c:manualLayout>
              </c:layout>
              <c:dLblPos val="t"/>
              <c:showVal val="1"/>
            </c:dLbl>
            <c:dLbl>
              <c:idx val="4"/>
              <c:layout>
                <c:manualLayout>
                  <c:x val="-6.5439672801636374E-3"/>
                  <c:y val="9.5510983763132828E-2"/>
                </c:manualLayout>
              </c:layout>
              <c:dLblPos val="t"/>
              <c:showVal val="1"/>
            </c:dLbl>
            <c:dLbl>
              <c:idx val="5"/>
              <c:layout>
                <c:manualLayout>
                  <c:x val="-1.6359918200409003E-3"/>
                  <c:y val="9.9331423113658376E-2"/>
                </c:manualLayout>
              </c:layout>
              <c:dLblPos val="t"/>
              <c:showVal val="1"/>
            </c:dLbl>
            <c:dLbl>
              <c:idx val="6"/>
              <c:layout>
                <c:manualLayout>
                  <c:x val="2.4539877300613733E-3"/>
                  <c:y val="0.10315186246418302"/>
                </c:manualLayout>
              </c:layout>
              <c:dLblPos val="t"/>
              <c:showVal val="1"/>
            </c:dLbl>
            <c:dLbl>
              <c:idx val="7"/>
              <c:layout>
                <c:manualLayout>
                  <c:x val="4.9079754601227014E-3"/>
                  <c:y val="8.7870105062082246E-2"/>
                </c:manualLayout>
              </c:layout>
              <c:dLblPos val="t"/>
              <c:showVal val="1"/>
            </c:dLbl>
            <c:dLbl>
              <c:idx val="8"/>
              <c:layout>
                <c:manualLayout>
                  <c:x val="6.5439672801636374E-3"/>
                  <c:y val="0.133715377268386"/>
                </c:manualLayout>
              </c:layout>
              <c:dLblPos val="t"/>
              <c:showVal val="1"/>
            </c:dLbl>
            <c:dLbl>
              <c:idx val="19"/>
              <c:layout>
                <c:manualLayout>
                  <c:x val="2.4539877300613733E-3"/>
                  <c:y val="0.10315186246418302"/>
                </c:manualLayout>
              </c:layout>
              <c:dLblPos val="t"/>
              <c:showVal val="1"/>
            </c:dLbl>
            <c:dLbl>
              <c:idx val="21"/>
              <c:layout>
                <c:manualLayout>
                  <c:x val="0"/>
                  <c:y val="9.1690544412607544E-2"/>
                </c:manualLayout>
              </c:layout>
              <c:dLblPos val="t"/>
              <c:showVal val="1"/>
            </c:dLbl>
            <c:dLbl>
              <c:idx val="23"/>
              <c:layout>
                <c:manualLayout>
                  <c:x val="0"/>
                  <c:y val="9.5510983763132828E-2"/>
                </c:manualLayout>
              </c:layout>
              <c:dLblPos val="t"/>
              <c:showVal val="1"/>
            </c:dLbl>
            <c:dLblPos val="t"/>
            <c:showVal val="1"/>
          </c:dLbls>
          <c:cat>
            <c:strRef>
              <c:f>'Trésorerie '!$C$1:$AA$1</c:f>
              <c:strCache>
                <c:ptCount val="25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  <c:pt idx="12">
                  <c:v>Janv</c:v>
                </c:pt>
                <c:pt idx="13">
                  <c:v>Fév</c:v>
                </c:pt>
                <c:pt idx="14">
                  <c:v>Mars</c:v>
                </c:pt>
                <c:pt idx="15">
                  <c:v>Avril</c:v>
                </c:pt>
                <c:pt idx="16">
                  <c:v>Mai</c:v>
                </c:pt>
                <c:pt idx="17">
                  <c:v>Juin</c:v>
                </c:pt>
                <c:pt idx="18">
                  <c:v>Juillet</c:v>
                </c:pt>
                <c:pt idx="19">
                  <c:v>Août</c:v>
                </c:pt>
                <c:pt idx="20">
                  <c:v>Septembre</c:v>
                </c:pt>
                <c:pt idx="21">
                  <c:v>Octobre</c:v>
                </c:pt>
                <c:pt idx="22">
                  <c:v>Novembre</c:v>
                </c:pt>
                <c:pt idx="23">
                  <c:v>Décembre</c:v>
                </c:pt>
                <c:pt idx="24">
                  <c:v>Janvier</c:v>
                </c:pt>
              </c:strCache>
            </c:strRef>
          </c:cat>
          <c:val>
            <c:numRef>
              <c:f>'Trésorerie '!$C$3:$AA$3</c:f>
              <c:numCache>
                <c:formatCode>0.00</c:formatCode>
                <c:ptCount val="25"/>
                <c:pt idx="0" formatCode="0">
                  <c:v>0</c:v>
                </c:pt>
                <c:pt idx="1">
                  <c:v>3287.948703750842</c:v>
                </c:pt>
                <c:pt idx="2">
                  <c:v>-22732.502592498327</c:v>
                </c:pt>
                <c:pt idx="3">
                  <c:v>-48752.953888747492</c:v>
                </c:pt>
                <c:pt idx="4">
                  <c:v>-66300.842706600815</c:v>
                </c:pt>
                <c:pt idx="5">
                  <c:v>-94681.888618589554</c:v>
                </c:pt>
                <c:pt idx="6">
                  <c:v>-78919.166937393733</c:v>
                </c:pt>
                <c:pt idx="7">
                  <c:v>-67371.753972131148</c:v>
                </c:pt>
                <c:pt idx="8">
                  <c:v>-25983.544992858602</c:v>
                </c:pt>
                <c:pt idx="9">
                  <c:v>4274.0124277911345</c:v>
                </c:pt>
                <c:pt idx="10">
                  <c:v>34876.471589934808</c:v>
                </c:pt>
                <c:pt idx="11">
                  <c:v>65695.460293685639</c:v>
                </c:pt>
                <c:pt idx="12">
                  <c:v>96514.44899743647</c:v>
                </c:pt>
                <c:pt idx="13">
                  <c:v>118362.8777011873</c:v>
                </c:pt>
                <c:pt idx="14">
                  <c:v>135154.8664049381</c:v>
                </c:pt>
                <c:pt idx="15">
                  <c:v>159991.85510868893</c:v>
                </c:pt>
                <c:pt idx="16">
                  <c:v>158556.84381243974</c:v>
                </c:pt>
                <c:pt idx="17">
                  <c:v>171436.23251619056</c:v>
                </c:pt>
                <c:pt idx="18">
                  <c:v>203345.06121994139</c:v>
                </c:pt>
                <c:pt idx="19">
                  <c:v>186890.04992369222</c:v>
                </c:pt>
                <c:pt idx="20">
                  <c:v>251587.03862744308</c:v>
                </c:pt>
                <c:pt idx="21">
                  <c:v>223372.02733119391</c:v>
                </c:pt>
                <c:pt idx="22">
                  <c:v>288069.01603494474</c:v>
                </c:pt>
                <c:pt idx="23">
                  <c:v>259854.00473869557</c:v>
                </c:pt>
                <c:pt idx="24">
                  <c:v>324550.9934424464</c:v>
                </c:pt>
              </c:numCache>
            </c:numRef>
          </c:val>
        </c:ser>
        <c:marker val="1"/>
        <c:axId val="218012672"/>
        <c:axId val="218034944"/>
      </c:lineChart>
      <c:catAx>
        <c:axId val="218012672"/>
        <c:scaling>
          <c:orientation val="minMax"/>
        </c:scaling>
        <c:axPos val="b"/>
        <c:tickLblPos val="nextTo"/>
        <c:crossAx val="218034944"/>
        <c:crosses val="autoZero"/>
        <c:auto val="1"/>
        <c:lblAlgn val="ctr"/>
        <c:lblOffset val="100"/>
      </c:catAx>
      <c:valAx>
        <c:axId val="218034944"/>
        <c:scaling>
          <c:orientation val="minMax"/>
        </c:scaling>
        <c:axPos val="l"/>
        <c:majorGridlines/>
        <c:numFmt formatCode="0" sourceLinked="1"/>
        <c:tickLblPos val="nextTo"/>
        <c:crossAx val="218012672"/>
        <c:crosses val="autoZero"/>
        <c:crossBetween val="between"/>
      </c:valAx>
    </c:plotArea>
    <c:plotVisOnly val="1"/>
    <c:dispBlanksAs val="gap"/>
  </c:chart>
  <c:printSettings>
    <c:headerFooter/>
    <c:pageMargins b="0.75000000000000244" l="0.7000000000000014" r="0.7000000000000014" t="0.75000000000000244" header="0.30000000000000021" footer="0.3000000000000002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0"/>
          <c:order val="0"/>
          <c:dLbls>
            <c:dLblPos val="r"/>
            <c:showVal val="1"/>
          </c:dLbls>
          <c:cat>
            <c:numRef>
              <c:f>'Charges '!$E$3:$E$6</c:f>
              <c:numCache>
                <c:formatCode>General</c:formatCode>
                <c:ptCount val="4"/>
              </c:numCache>
            </c:numRef>
          </c:cat>
          <c:val>
            <c:numRef>
              <c:f>'Charges '!$H$3:$H$6</c:f>
              <c:numCache>
                <c:formatCode>0.00%</c:formatCode>
                <c:ptCount val="4"/>
              </c:numCache>
            </c:numRef>
          </c:val>
        </c:ser>
        <c:marker val="1"/>
        <c:axId val="218182016"/>
        <c:axId val="218183552"/>
      </c:lineChart>
      <c:catAx>
        <c:axId val="218182016"/>
        <c:scaling>
          <c:orientation val="minMax"/>
        </c:scaling>
        <c:axPos val="b"/>
        <c:numFmt formatCode="General" sourceLinked="1"/>
        <c:tickLblPos val="nextTo"/>
        <c:crossAx val="218183552"/>
        <c:crosses val="autoZero"/>
        <c:auto val="1"/>
        <c:lblAlgn val="ctr"/>
        <c:lblOffset val="100"/>
      </c:catAx>
      <c:valAx>
        <c:axId val="218183552"/>
        <c:scaling>
          <c:orientation val="minMax"/>
        </c:scaling>
        <c:axPos val="l"/>
        <c:majorGridlines/>
        <c:numFmt formatCode="0.00%" sourceLinked="1"/>
        <c:tickLblPos val="nextTo"/>
        <c:crossAx val="218182016"/>
        <c:crosses val="autoZero"/>
        <c:crossBetween val="between"/>
      </c:valAx>
    </c:plotArea>
    <c:plotVisOnly val="1"/>
    <c:dispBlanksAs val="gap"/>
  </c:chart>
  <c:printSettings>
    <c:headerFooter/>
    <c:pageMargins b="0.75000000000000144" l="0.7000000000000014" r="0.7000000000000014" t="0.750000000000001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17</xdr:row>
      <xdr:rowOff>95250</xdr:rowOff>
    </xdr:from>
    <xdr:to>
      <xdr:col>10</xdr:col>
      <xdr:colOff>685800</xdr:colOff>
      <xdr:row>27</xdr:row>
      <xdr:rowOff>161925</xdr:rowOff>
    </xdr:to>
    <xdr:graphicFrame macro="">
      <xdr:nvGraphicFramePr>
        <xdr:cNvPr id="3106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2790825</xdr:colOff>
      <xdr:row>57</xdr:row>
      <xdr:rowOff>95249</xdr:rowOff>
    </xdr:from>
    <xdr:to>
      <xdr:col>26</xdr:col>
      <xdr:colOff>342900</xdr:colOff>
      <xdr:row>78</xdr:row>
      <xdr:rowOff>19049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2</xdr:row>
      <xdr:rowOff>76200</xdr:rowOff>
    </xdr:from>
    <xdr:to>
      <xdr:col>14</xdr:col>
      <xdr:colOff>28575</xdr:colOff>
      <xdr:row>44</xdr:row>
      <xdr:rowOff>66675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/EISTI%20ICOM%202010-2011/Corrig&#233;s%20ICOM%202010-2011/Corrig&#233;%20MEDIAFORM/Business%20plan%20A1-A2%20simulateur%20c%20est%20le%20bon%20V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~1\AppData\Local\Temp\ICOM-2013-Simulateur%20Mediaform-Groupe%20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bleau simu"/>
      <sheetName val="Prod,Fact,Encaisse"/>
      <sheetName val="TEC"/>
      <sheetName val="Personnel,salaires"/>
      <sheetName val="Immo"/>
      <sheetName val="TH "/>
      <sheetName val="Budget, PV contrat"/>
      <sheetName val="TVA"/>
      <sheetName val="Trésorerie "/>
      <sheetName val="Produits "/>
      <sheetName val="Charges "/>
      <sheetName val="Passif "/>
      <sheetName val="Actif "/>
      <sheetName val="FR, BFR,CA max"/>
      <sheetName val="Plan financt"/>
      <sheetName val="Equation perf"/>
      <sheetName val="Impact Scénariste"/>
      <sheetName val="Prime DC et IRPP"/>
    </sheetNames>
    <sheetDataSet>
      <sheetData sheetId="0">
        <row r="34">
          <cell r="B34">
            <v>3000</v>
          </cell>
        </row>
        <row r="35">
          <cell r="B35">
            <v>3000</v>
          </cell>
        </row>
        <row r="36">
          <cell r="B36">
            <v>3000</v>
          </cell>
        </row>
        <row r="37">
          <cell r="B37">
            <v>1200</v>
          </cell>
        </row>
        <row r="39">
          <cell r="B39">
            <v>3000</v>
          </cell>
        </row>
        <row r="40">
          <cell r="B40">
            <v>2500</v>
          </cell>
        </row>
        <row r="41">
          <cell r="B41">
            <v>2800</v>
          </cell>
        </row>
        <row r="42">
          <cell r="B42">
            <v>1500</v>
          </cell>
        </row>
        <row r="43">
          <cell r="B43">
            <v>0</v>
          </cell>
          <cell r="C43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ableau simu"/>
      <sheetName val="Prod,Fact,Encaisse"/>
      <sheetName val="TEC"/>
      <sheetName val="Personnel,salaires"/>
      <sheetName val="Immo"/>
      <sheetName val="TH "/>
      <sheetName val="Budget, PV contrat"/>
      <sheetName val="TVA"/>
      <sheetName val="Trésorerie "/>
      <sheetName val="Produits "/>
      <sheetName val="Charges "/>
      <sheetName val="Passif "/>
      <sheetName val="Actif "/>
      <sheetName val="FR, BFR,CA max"/>
      <sheetName val="Plan financt"/>
      <sheetName val="Equation perf"/>
      <sheetName val="Impact Scénariste"/>
      <sheetName val="Prime DC et IRPP"/>
      <sheetName val="Diagnostic"/>
    </sheetNames>
    <sheetDataSet>
      <sheetData sheetId="0"/>
      <sheetData sheetId="1"/>
      <sheetData sheetId="2"/>
      <sheetData sheetId="3"/>
      <sheetData sheetId="4">
        <row r="31">
          <cell r="M31">
            <v>0</v>
          </cell>
          <cell r="O31">
            <v>2000</v>
          </cell>
        </row>
        <row r="32">
          <cell r="M32">
            <v>0</v>
          </cell>
          <cell r="O32">
            <v>6000</v>
          </cell>
        </row>
        <row r="34">
          <cell r="M34">
            <v>0</v>
          </cell>
        </row>
        <row r="35">
          <cell r="M35">
            <v>8000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H55"/>
  <sheetViews>
    <sheetView workbookViewId="0">
      <selection activeCell="G11" sqref="G11"/>
    </sheetView>
  </sheetViews>
  <sheetFormatPr baseColWidth="10" defaultRowHeight="12.75"/>
  <cols>
    <col min="1" max="1" width="45.28515625" bestFit="1" customWidth="1"/>
    <col min="2" max="2" width="9.140625" bestFit="1" customWidth="1"/>
    <col min="3" max="4" width="8.28515625" bestFit="1" customWidth="1"/>
    <col min="5" max="5" width="49.28515625" bestFit="1" customWidth="1"/>
    <col min="6" max="6" width="9.28515625" bestFit="1" customWidth="1"/>
    <col min="7" max="7" width="10" bestFit="1" customWidth="1"/>
    <col min="8" max="8" width="11.140625" bestFit="1" customWidth="1"/>
  </cols>
  <sheetData>
    <row r="1" spans="1:8" ht="22.5">
      <c r="A1" s="321" t="s">
        <v>359</v>
      </c>
      <c r="B1" s="168" t="s">
        <v>397</v>
      </c>
      <c r="C1" s="453" t="s">
        <v>398</v>
      </c>
      <c r="D1" s="454"/>
      <c r="E1" s="320" t="s">
        <v>360</v>
      </c>
      <c r="F1" s="168" t="s">
        <v>407</v>
      </c>
      <c r="G1" s="169" t="s">
        <v>408</v>
      </c>
      <c r="H1" s="85"/>
    </row>
    <row r="2" spans="1:8" ht="39" customHeight="1">
      <c r="A2" s="170" t="s">
        <v>367</v>
      </c>
      <c r="B2" s="205" t="s">
        <v>401</v>
      </c>
      <c r="C2" s="205" t="s">
        <v>401</v>
      </c>
      <c r="D2" s="209" t="s">
        <v>402</v>
      </c>
      <c r="E2" s="345"/>
      <c r="F2" s="162"/>
      <c r="G2" s="171"/>
      <c r="H2" s="48"/>
    </row>
    <row r="3" spans="1:8">
      <c r="A3" s="189" t="s">
        <v>400</v>
      </c>
      <c r="B3" s="313" t="s">
        <v>403</v>
      </c>
      <c r="C3" s="313" t="s">
        <v>374</v>
      </c>
      <c r="D3" s="316" t="s">
        <v>403</v>
      </c>
      <c r="E3" s="346" t="s">
        <v>488</v>
      </c>
      <c r="F3" s="163">
        <f>COUNTIF(B3:B14,"Oui")</f>
        <v>10</v>
      </c>
      <c r="G3" s="172">
        <f>COUNTIF(C3:C14,"Oui")</f>
        <v>12</v>
      </c>
      <c r="H3" s="48"/>
    </row>
    <row r="4" spans="1:8">
      <c r="A4" s="189" t="s">
        <v>399</v>
      </c>
      <c r="B4" s="313" t="s">
        <v>403</v>
      </c>
      <c r="C4" s="313" t="s">
        <v>374</v>
      </c>
      <c r="D4" s="316" t="s">
        <v>374</v>
      </c>
      <c r="E4" s="346" t="s">
        <v>489</v>
      </c>
      <c r="F4" s="163">
        <v>0</v>
      </c>
      <c r="G4" s="172">
        <f>COUNTIF(D3:D14,"Oui")</f>
        <v>6</v>
      </c>
      <c r="H4" s="48"/>
    </row>
    <row r="5" spans="1:8">
      <c r="A5" s="176" t="s">
        <v>240</v>
      </c>
      <c r="B5" s="308" t="s">
        <v>374</v>
      </c>
      <c r="C5" s="313" t="s">
        <v>374</v>
      </c>
      <c r="D5" s="316" t="s">
        <v>403</v>
      </c>
      <c r="E5" s="346" t="s">
        <v>460</v>
      </c>
      <c r="F5" s="163">
        <f>COUNTIF(B3:B10,"oui")</f>
        <v>6</v>
      </c>
      <c r="G5" s="172">
        <f>COUNTIF(C3:C10,"Oui")</f>
        <v>8</v>
      </c>
      <c r="H5" s="33"/>
    </row>
    <row r="6" spans="1:8">
      <c r="A6" s="176" t="s">
        <v>368</v>
      </c>
      <c r="B6" s="313" t="s">
        <v>374</v>
      </c>
      <c r="C6" s="313" t="s">
        <v>374</v>
      </c>
      <c r="D6" s="316" t="s">
        <v>374</v>
      </c>
      <c r="E6" s="346" t="s">
        <v>461</v>
      </c>
      <c r="F6" s="163">
        <v>0</v>
      </c>
      <c r="G6" s="172">
        <f>COUNTIF(D3:D9,"Oui")</f>
        <v>3</v>
      </c>
      <c r="H6" s="33"/>
    </row>
    <row r="7" spans="1:8">
      <c r="A7" s="176" t="s">
        <v>242</v>
      </c>
      <c r="B7" s="313" t="s">
        <v>374</v>
      </c>
      <c r="C7" s="313" t="s">
        <v>374</v>
      </c>
      <c r="D7" s="316" t="s">
        <v>403</v>
      </c>
      <c r="E7" s="315"/>
      <c r="F7" s="162"/>
      <c r="G7" s="173"/>
      <c r="H7" s="48"/>
    </row>
    <row r="8" spans="1:8">
      <c r="A8" s="176" t="s">
        <v>243</v>
      </c>
      <c r="B8" s="313" t="s">
        <v>374</v>
      </c>
      <c r="C8" s="313" t="s">
        <v>374</v>
      </c>
      <c r="D8" s="316" t="s">
        <v>374</v>
      </c>
      <c r="E8" s="345" t="s">
        <v>466</v>
      </c>
      <c r="F8" s="164">
        <f>'Produits '!C36</f>
        <v>738251.53269493848</v>
      </c>
      <c r="G8" s="174">
        <f>'Produits '!D36</f>
        <v>1496234.8174091589</v>
      </c>
      <c r="H8" s="58"/>
    </row>
    <row r="9" spans="1:8">
      <c r="A9" s="176" t="s">
        <v>369</v>
      </c>
      <c r="B9" s="313" t="s">
        <v>374</v>
      </c>
      <c r="C9" s="313" t="s">
        <v>374</v>
      </c>
      <c r="D9" s="316" t="s">
        <v>403</v>
      </c>
      <c r="E9" s="345" t="s">
        <v>312</v>
      </c>
      <c r="F9" s="164">
        <f>'Charges '!C65</f>
        <v>611350.62092551263</v>
      </c>
      <c r="G9" s="174">
        <f>'Charges '!D65</f>
        <v>1276171.8874167176</v>
      </c>
      <c r="H9" s="58"/>
    </row>
    <row r="10" spans="1:8">
      <c r="A10" s="176" t="s">
        <v>245</v>
      </c>
      <c r="B10" s="313" t="s">
        <v>374</v>
      </c>
      <c r="C10" s="313" t="s">
        <v>374</v>
      </c>
      <c r="D10" s="316" t="s">
        <v>374</v>
      </c>
      <c r="E10" s="347" t="s">
        <v>379</v>
      </c>
      <c r="F10" s="164">
        <f>'Equation perf'!C14</f>
        <v>126900.91176942586</v>
      </c>
      <c r="G10" s="174">
        <f>'Charges '!D66</f>
        <v>220062.92999244132</v>
      </c>
      <c r="H10" s="59"/>
    </row>
    <row r="11" spans="1:8">
      <c r="A11" s="176" t="s">
        <v>370</v>
      </c>
      <c r="B11" s="313" t="s">
        <v>374</v>
      </c>
      <c r="C11" s="313" t="s">
        <v>374</v>
      </c>
      <c r="D11" s="316" t="s">
        <v>403</v>
      </c>
      <c r="E11" s="347" t="s">
        <v>347</v>
      </c>
      <c r="F11" s="164">
        <f>'Produits '!C35</f>
        <v>0</v>
      </c>
      <c r="G11" s="174">
        <f>'Produits '!D35</f>
        <v>0</v>
      </c>
      <c r="H11" s="58"/>
    </row>
    <row r="12" spans="1:8">
      <c r="A12" s="176" t="s">
        <v>371</v>
      </c>
      <c r="B12" s="313" t="s">
        <v>374</v>
      </c>
      <c r="C12" s="313" t="s">
        <v>374</v>
      </c>
      <c r="D12" s="316" t="s">
        <v>374</v>
      </c>
      <c r="E12" s="348" t="s">
        <v>465</v>
      </c>
      <c r="F12" s="165">
        <f>'Trésorerie '!O3</f>
        <v>96514.44899743647</v>
      </c>
      <c r="G12" s="174"/>
      <c r="H12" s="59"/>
    </row>
    <row r="13" spans="1:8">
      <c r="A13" s="176" t="s">
        <v>372</v>
      </c>
      <c r="B13" s="313" t="s">
        <v>374</v>
      </c>
      <c r="C13" s="313" t="s">
        <v>374</v>
      </c>
      <c r="D13" s="316" t="s">
        <v>403</v>
      </c>
      <c r="E13" s="347" t="s">
        <v>322</v>
      </c>
      <c r="F13" s="164">
        <f>'Charges '!C58</f>
        <v>7283.7875921792775</v>
      </c>
      <c r="G13" s="174">
        <f>'Charges '!D58</f>
        <v>2452.6096389398072</v>
      </c>
      <c r="H13" s="59"/>
    </row>
    <row r="14" spans="1:8">
      <c r="A14" s="176" t="s">
        <v>373</v>
      </c>
      <c r="B14" s="313" t="s">
        <v>374</v>
      </c>
      <c r="C14" s="313" t="s">
        <v>374</v>
      </c>
      <c r="D14" s="316" t="s">
        <v>374</v>
      </c>
      <c r="E14" s="317" t="s">
        <v>279</v>
      </c>
      <c r="F14" s="166">
        <f>'Charges '!C55</f>
        <v>3372.8554475734973</v>
      </c>
      <c r="G14" s="177">
        <f>'Charges '!D55</f>
        <v>0</v>
      </c>
      <c r="H14" s="59"/>
    </row>
    <row r="15" spans="1:8" ht="26.25" customHeight="1">
      <c r="A15" s="360" t="s">
        <v>405</v>
      </c>
      <c r="B15" s="351" t="s">
        <v>404</v>
      </c>
      <c r="C15" s="351" t="s">
        <v>404</v>
      </c>
      <c r="D15" s="361" t="s">
        <v>406</v>
      </c>
      <c r="E15" s="349" t="s">
        <v>321</v>
      </c>
      <c r="F15" s="167">
        <f>'Charges '!C54</f>
        <v>3910.9321446057802</v>
      </c>
      <c r="G15" s="178">
        <f>'Charges '!D54</f>
        <v>2452.6096389398072</v>
      </c>
      <c r="H15" s="59"/>
    </row>
    <row r="16" spans="1:8">
      <c r="A16" s="175" t="s">
        <v>464</v>
      </c>
      <c r="B16" s="352">
        <v>100000</v>
      </c>
      <c r="C16" s="352">
        <v>80000</v>
      </c>
      <c r="D16" s="362"/>
      <c r="E16" s="347" t="s">
        <v>355</v>
      </c>
      <c r="F16" s="164">
        <f>'Passif '!D44</f>
        <v>299294.02835904155</v>
      </c>
      <c r="G16" s="174"/>
      <c r="H16" s="59"/>
    </row>
    <row r="17" spans="1:8">
      <c r="A17" s="170" t="s">
        <v>454</v>
      </c>
      <c r="B17" s="352"/>
      <c r="C17" s="352"/>
      <c r="D17" s="362">
        <v>120000</v>
      </c>
      <c r="E17" s="347" t="s">
        <v>356</v>
      </c>
      <c r="F17" s="164">
        <f>'Actif '!E51</f>
        <v>299294.02835904161</v>
      </c>
      <c r="G17" s="174"/>
      <c r="H17" s="59"/>
    </row>
    <row r="18" spans="1:8">
      <c r="A18" s="176"/>
      <c r="B18" s="353"/>
      <c r="C18" s="353"/>
      <c r="D18" s="363"/>
      <c r="E18" s="345" t="s">
        <v>313</v>
      </c>
      <c r="F18" s="164">
        <f>'FR, BFR,CA max'!B7</f>
        <v>119752.46779962527</v>
      </c>
      <c r="G18" s="179"/>
      <c r="H18" s="59"/>
    </row>
    <row r="19" spans="1:8" ht="13.5" thickBot="1">
      <c r="A19" s="175" t="s">
        <v>311</v>
      </c>
      <c r="B19" s="354"/>
      <c r="C19" s="354"/>
      <c r="D19" s="364"/>
      <c r="E19" s="350" t="s">
        <v>314</v>
      </c>
      <c r="F19" s="181">
        <f>'FR, BFR,CA max'!B16</f>
        <v>23238.01880218881</v>
      </c>
      <c r="G19" s="182"/>
      <c r="H19" s="59"/>
    </row>
    <row r="20" spans="1:8">
      <c r="A20" s="176" t="s">
        <v>483</v>
      </c>
      <c r="B20" s="353">
        <v>0.1</v>
      </c>
      <c r="C20" s="353">
        <v>0.1</v>
      </c>
      <c r="D20" s="363">
        <v>0.1</v>
      </c>
      <c r="E20" s="80"/>
      <c r="H20" s="59"/>
    </row>
    <row r="21" spans="1:8" ht="13.5" thickBot="1">
      <c r="A21" s="176" t="s">
        <v>412</v>
      </c>
      <c r="B21" s="353">
        <v>0.4</v>
      </c>
      <c r="C21" s="353">
        <v>0.4</v>
      </c>
      <c r="D21" s="363">
        <v>0.4</v>
      </c>
      <c r="E21" s="33"/>
      <c r="H21" s="65"/>
    </row>
    <row r="22" spans="1:8">
      <c r="A22" s="176" t="s">
        <v>316</v>
      </c>
      <c r="B22" s="355">
        <f>1-(B20+B21)</f>
        <v>0.5</v>
      </c>
      <c r="C22" s="355">
        <f>1-(C20+C21)</f>
        <v>0.5</v>
      </c>
      <c r="D22" s="365">
        <f>1-(D20+D21)</f>
        <v>0.5</v>
      </c>
      <c r="E22" s="33"/>
      <c r="F22" s="142" t="s">
        <v>475</v>
      </c>
      <c r="G22" s="143" t="s">
        <v>474</v>
      </c>
      <c r="H22" s="65"/>
    </row>
    <row r="23" spans="1:8">
      <c r="A23" s="189" t="s">
        <v>587</v>
      </c>
      <c r="B23" s="459">
        <v>30</v>
      </c>
      <c r="C23" s="459"/>
      <c r="D23" s="460"/>
      <c r="E23" s="33"/>
      <c r="F23" s="151">
        <v>80000</v>
      </c>
      <c r="G23" s="152"/>
      <c r="H23" s="65"/>
    </row>
    <row r="24" spans="1:8">
      <c r="A24" s="175" t="s">
        <v>317</v>
      </c>
      <c r="B24" s="356"/>
      <c r="C24" s="356"/>
      <c r="D24" s="366"/>
      <c r="E24" s="33"/>
      <c r="F24" s="153">
        <v>82500</v>
      </c>
      <c r="G24" s="77"/>
      <c r="H24" s="65"/>
    </row>
    <row r="25" spans="1:8">
      <c r="A25" s="176" t="s">
        <v>413</v>
      </c>
      <c r="B25" s="357" t="s">
        <v>375</v>
      </c>
      <c r="C25" s="357" t="s">
        <v>375</v>
      </c>
      <c r="D25" s="367" t="s">
        <v>375</v>
      </c>
      <c r="E25" s="48"/>
      <c r="F25" s="153">
        <v>85000</v>
      </c>
      <c r="G25" s="77"/>
      <c r="H25" s="66"/>
    </row>
    <row r="26" spans="1:8">
      <c r="A26" s="176" t="s">
        <v>414</v>
      </c>
      <c r="B26" s="357" t="s">
        <v>375</v>
      </c>
      <c r="C26" s="357" t="s">
        <v>375</v>
      </c>
      <c r="D26" s="367" t="s">
        <v>375</v>
      </c>
      <c r="E26" s="48"/>
      <c r="F26" s="153">
        <v>87500</v>
      </c>
      <c r="G26" s="77"/>
      <c r="H26" s="66"/>
    </row>
    <row r="27" spans="1:8">
      <c r="A27" s="175" t="s">
        <v>319</v>
      </c>
      <c r="B27" s="313"/>
      <c r="C27" s="313"/>
      <c r="D27" s="316"/>
      <c r="E27" s="48"/>
      <c r="F27" s="153">
        <v>90000</v>
      </c>
      <c r="G27" s="77"/>
      <c r="H27" s="59"/>
    </row>
    <row r="28" spans="1:8">
      <c r="A28" s="176" t="s">
        <v>152</v>
      </c>
      <c r="B28" s="352">
        <v>65000</v>
      </c>
      <c r="C28" s="455">
        <v>0</v>
      </c>
      <c r="D28" s="456"/>
      <c r="E28" s="48"/>
      <c r="F28" s="153">
        <v>92500</v>
      </c>
      <c r="G28" s="77"/>
      <c r="H28" s="66"/>
    </row>
    <row r="29" spans="1:8">
      <c r="A29" s="176" t="s">
        <v>366</v>
      </c>
      <c r="B29" s="313">
        <v>36</v>
      </c>
      <c r="C29" s="455">
        <v>0</v>
      </c>
      <c r="D29" s="456"/>
      <c r="E29" s="33"/>
      <c r="F29" s="153">
        <v>95000</v>
      </c>
      <c r="G29" s="77"/>
      <c r="H29" s="66"/>
    </row>
    <row r="30" spans="1:8">
      <c r="A30" s="176" t="s">
        <v>320</v>
      </c>
      <c r="B30" s="353">
        <v>7.0000000000000007E-2</v>
      </c>
      <c r="C30" s="451">
        <v>0</v>
      </c>
      <c r="D30" s="452"/>
      <c r="E30" s="33"/>
      <c r="F30" s="153">
        <v>97500</v>
      </c>
      <c r="G30" s="77"/>
      <c r="H30" s="87"/>
    </row>
    <row r="31" spans="1:8" ht="13.5" thickBot="1">
      <c r="A31" s="170" t="s">
        <v>358</v>
      </c>
      <c r="B31" s="358">
        <v>0.1</v>
      </c>
      <c r="C31" s="457">
        <v>0.1</v>
      </c>
      <c r="D31" s="458"/>
      <c r="F31" s="154">
        <v>100000</v>
      </c>
      <c r="G31" s="155"/>
      <c r="H31" s="70"/>
    </row>
    <row r="32" spans="1:8">
      <c r="A32" s="175" t="s">
        <v>323</v>
      </c>
      <c r="B32" s="353">
        <v>0</v>
      </c>
      <c r="C32" s="451">
        <v>0</v>
      </c>
      <c r="D32" s="452"/>
      <c r="G32" s="61"/>
      <c r="H32" s="70"/>
    </row>
    <row r="33" spans="1:8">
      <c r="A33" s="170" t="s">
        <v>350</v>
      </c>
      <c r="B33" s="162"/>
      <c r="C33" s="162"/>
      <c r="D33" s="173"/>
      <c r="G33" s="61"/>
      <c r="H33" s="70"/>
    </row>
    <row r="34" spans="1:8">
      <c r="A34" s="176" t="s">
        <v>250</v>
      </c>
      <c r="B34" s="313">
        <v>3000</v>
      </c>
      <c r="C34" s="455">
        <v>3500</v>
      </c>
      <c r="D34" s="456"/>
      <c r="G34" s="61"/>
      <c r="H34" s="70"/>
    </row>
    <row r="35" spans="1:8">
      <c r="A35" s="176" t="s">
        <v>130</v>
      </c>
      <c r="B35" s="313">
        <v>3000</v>
      </c>
      <c r="C35" s="455">
        <v>3500</v>
      </c>
      <c r="D35" s="456"/>
      <c r="G35" s="61"/>
      <c r="H35" s="70"/>
    </row>
    <row r="36" spans="1:8">
      <c r="A36" s="176" t="s">
        <v>251</v>
      </c>
      <c r="B36" s="313">
        <v>3000</v>
      </c>
      <c r="C36" s="455">
        <v>3500</v>
      </c>
      <c r="D36" s="456"/>
      <c r="G36" s="61"/>
      <c r="H36" s="70"/>
    </row>
    <row r="37" spans="1:8">
      <c r="A37" s="176" t="s">
        <v>252</v>
      </c>
      <c r="B37" s="313">
        <v>1200</v>
      </c>
      <c r="C37" s="455">
        <v>1500</v>
      </c>
      <c r="D37" s="456"/>
      <c r="G37" s="61"/>
      <c r="H37" s="70"/>
    </row>
    <row r="38" spans="1:8">
      <c r="A38" s="176" t="s">
        <v>411</v>
      </c>
      <c r="B38" s="313">
        <v>0</v>
      </c>
      <c r="C38" s="455">
        <v>2800</v>
      </c>
      <c r="D38" s="456"/>
      <c r="G38" s="61"/>
      <c r="H38" s="70"/>
    </row>
    <row r="39" spans="1:8">
      <c r="A39" s="176" t="s">
        <v>253</v>
      </c>
      <c r="B39" s="313">
        <v>3000</v>
      </c>
      <c r="C39" s="455">
        <v>3500</v>
      </c>
      <c r="D39" s="456"/>
    </row>
    <row r="40" spans="1:8">
      <c r="A40" s="176" t="s">
        <v>255</v>
      </c>
      <c r="B40" s="313">
        <v>2500</v>
      </c>
      <c r="C40" s="455">
        <v>2800</v>
      </c>
      <c r="D40" s="456"/>
      <c r="G40" s="70"/>
      <c r="H40" s="69"/>
    </row>
    <row r="41" spans="1:8">
      <c r="A41" s="176" t="s">
        <v>265</v>
      </c>
      <c r="B41" s="313">
        <v>2800</v>
      </c>
      <c r="C41" s="455">
        <v>3000</v>
      </c>
      <c r="D41" s="456"/>
      <c r="G41" s="70"/>
      <c r="H41" s="70"/>
    </row>
    <row r="42" spans="1:8">
      <c r="A42" s="176" t="s">
        <v>266</v>
      </c>
      <c r="B42" s="313">
        <v>1500</v>
      </c>
      <c r="C42" s="455">
        <v>2000</v>
      </c>
      <c r="D42" s="456"/>
      <c r="G42" s="70"/>
      <c r="H42" s="70"/>
    </row>
    <row r="43" spans="1:8">
      <c r="A43" s="176" t="s">
        <v>269</v>
      </c>
      <c r="B43" s="313">
        <v>0</v>
      </c>
      <c r="C43" s="313"/>
      <c r="D43" s="316"/>
      <c r="G43" s="70"/>
      <c r="H43" s="70"/>
    </row>
    <row r="44" spans="1:8">
      <c r="A44" s="170" t="s">
        <v>348</v>
      </c>
      <c r="B44" s="359"/>
      <c r="C44" s="359"/>
      <c r="D44" s="368"/>
      <c r="G44" s="70"/>
      <c r="H44" s="33"/>
    </row>
    <row r="45" spans="1:8">
      <c r="A45" s="176" t="s">
        <v>268</v>
      </c>
      <c r="B45" s="313">
        <v>100</v>
      </c>
      <c r="C45" s="455">
        <v>100</v>
      </c>
      <c r="D45" s="456"/>
      <c r="G45" s="71"/>
      <c r="H45" s="71"/>
    </row>
    <row r="46" spans="1:8">
      <c r="A46" s="176" t="s">
        <v>269</v>
      </c>
      <c r="B46" s="313">
        <v>100</v>
      </c>
      <c r="C46" s="455">
        <v>100</v>
      </c>
      <c r="D46" s="456"/>
      <c r="G46" s="61"/>
      <c r="H46" s="58"/>
    </row>
    <row r="47" spans="1:8">
      <c r="A47" s="176" t="s">
        <v>270</v>
      </c>
      <c r="B47" s="313">
        <v>60</v>
      </c>
      <c r="C47" s="455">
        <v>60</v>
      </c>
      <c r="D47" s="456"/>
      <c r="G47" s="61"/>
      <c r="H47" s="58"/>
    </row>
    <row r="48" spans="1:8">
      <c r="A48" s="176" t="s">
        <v>349</v>
      </c>
      <c r="B48" s="313">
        <v>0</v>
      </c>
      <c r="C48" s="455">
        <v>700</v>
      </c>
      <c r="D48" s="456"/>
      <c r="G48" s="61"/>
      <c r="H48" s="58"/>
    </row>
    <row r="49" spans="1:8">
      <c r="A49" s="170" t="s">
        <v>351</v>
      </c>
      <c r="B49" s="353">
        <v>0.5</v>
      </c>
      <c r="C49" s="451">
        <v>0.5</v>
      </c>
      <c r="D49" s="452"/>
      <c r="G49" s="61"/>
      <c r="H49" s="58"/>
    </row>
    <row r="50" spans="1:8">
      <c r="A50" s="271"/>
      <c r="B50" s="162"/>
      <c r="C50" s="162"/>
      <c r="D50" s="173"/>
      <c r="G50" s="61"/>
      <c r="H50" s="58"/>
    </row>
    <row r="51" spans="1:8">
      <c r="A51" s="170" t="s">
        <v>352</v>
      </c>
      <c r="B51" s="353">
        <v>0.2</v>
      </c>
      <c r="C51" s="564">
        <v>0.2</v>
      </c>
      <c r="D51" s="565"/>
      <c r="G51" s="61"/>
      <c r="H51" s="58"/>
    </row>
    <row r="52" spans="1:8">
      <c r="A52" s="170" t="s">
        <v>353</v>
      </c>
      <c r="B52" s="353">
        <v>0.08</v>
      </c>
      <c r="C52" s="451">
        <v>0.08</v>
      </c>
      <c r="D52" s="452"/>
      <c r="G52" s="61"/>
      <c r="H52" s="58"/>
    </row>
    <row r="53" spans="1:8">
      <c r="A53" s="170" t="s">
        <v>354</v>
      </c>
      <c r="B53" s="358">
        <v>0.33329999999999999</v>
      </c>
      <c r="C53" s="457">
        <v>0.33329999999999999</v>
      </c>
      <c r="D53" s="458"/>
      <c r="G53" s="61"/>
      <c r="H53" s="58"/>
    </row>
    <row r="54" spans="1:8">
      <c r="A54" s="158"/>
      <c r="B54" s="162"/>
      <c r="C54" s="162"/>
      <c r="D54" s="173"/>
    </row>
    <row r="55" spans="1:8" ht="13.5" thickBot="1">
      <c r="A55" s="180" t="s">
        <v>207</v>
      </c>
      <c r="B55" s="369">
        <v>50000</v>
      </c>
      <c r="C55" s="369"/>
      <c r="D55" s="370"/>
    </row>
  </sheetData>
  <mergeCells count="24">
    <mergeCell ref="C38:D38"/>
    <mergeCell ref="C34:D34"/>
    <mergeCell ref="C39:D39"/>
    <mergeCell ref="C40:D40"/>
    <mergeCell ref="C35:D35"/>
    <mergeCell ref="C36:D36"/>
    <mergeCell ref="C37:D37"/>
    <mergeCell ref="C41:D41"/>
    <mergeCell ref="C42:D42"/>
    <mergeCell ref="C53:D53"/>
    <mergeCell ref="C45:D45"/>
    <mergeCell ref="C46:D46"/>
    <mergeCell ref="C47:D47"/>
    <mergeCell ref="C48:D48"/>
    <mergeCell ref="C49:D49"/>
    <mergeCell ref="C51:D51"/>
    <mergeCell ref="C52:D52"/>
    <mergeCell ref="C32:D32"/>
    <mergeCell ref="C1:D1"/>
    <mergeCell ref="C28:D28"/>
    <mergeCell ref="C31:D31"/>
    <mergeCell ref="C29:D29"/>
    <mergeCell ref="C30:D30"/>
    <mergeCell ref="B23:D23"/>
  </mergeCells>
  <phoneticPr fontId="9" type="noConversion"/>
  <printOptions headings="1" gridLines="1"/>
  <pageMargins left="0.78740157499999996" right="0.78740157499999996" top="0.984251969" bottom="0.984251969" header="0.4921259845" footer="0.4921259845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2:D36"/>
  <sheetViews>
    <sheetView topLeftCell="A3" workbookViewId="0">
      <selection activeCell="G32" sqref="G32"/>
    </sheetView>
  </sheetViews>
  <sheetFormatPr baseColWidth="10" defaultRowHeight="12.75"/>
  <cols>
    <col min="1" max="1" width="5.28515625" bestFit="1" customWidth="1"/>
    <col min="2" max="2" width="57.7109375" bestFit="1" customWidth="1"/>
    <col min="3" max="4" width="11.7109375" bestFit="1" customWidth="1"/>
  </cols>
  <sheetData>
    <row r="2" spans="1:4">
      <c r="A2" t="s">
        <v>34</v>
      </c>
      <c r="C2" s="6" t="s">
        <v>20</v>
      </c>
      <c r="D2" s="6" t="s">
        <v>431</v>
      </c>
    </row>
    <row r="3" spans="1:4">
      <c r="B3" s="1" t="s">
        <v>43</v>
      </c>
      <c r="C3" s="6" t="s">
        <v>152</v>
      </c>
      <c r="D3" s="6" t="s">
        <v>152</v>
      </c>
    </row>
    <row r="4" spans="1:4">
      <c r="B4" s="8" t="s">
        <v>0</v>
      </c>
    </row>
    <row r="5" spans="1:4">
      <c r="B5" s="9" t="s">
        <v>1</v>
      </c>
    </row>
    <row r="6" spans="1:4">
      <c r="B6" s="2" t="s">
        <v>2</v>
      </c>
      <c r="C6" s="23"/>
    </row>
    <row r="7" spans="1:4">
      <c r="B7" t="s">
        <v>228</v>
      </c>
      <c r="C7" s="24">
        <f>SUM('Prod,Fact,Encaisse'!D39:O39)/1.196</f>
        <v>720000</v>
      </c>
      <c r="D7" s="24">
        <f>SUM('Prod,Fact,Encaisse'!P80:AA80)/1.196</f>
        <v>1460000</v>
      </c>
    </row>
    <row r="8" spans="1:4">
      <c r="B8" s="9" t="s">
        <v>3</v>
      </c>
      <c r="C8" s="23">
        <v>0</v>
      </c>
      <c r="D8" s="23">
        <v>0</v>
      </c>
    </row>
    <row r="9" spans="1:4">
      <c r="B9" s="2" t="s">
        <v>180</v>
      </c>
      <c r="C9" s="24">
        <f>TEC!E19</f>
        <v>18251.53269493844</v>
      </c>
      <c r="D9" s="24">
        <f>TEC!I19</f>
        <v>36234.817409159012</v>
      </c>
    </row>
    <row r="10" spans="1:4">
      <c r="B10" s="2" t="s">
        <v>153</v>
      </c>
      <c r="C10" s="24"/>
    </row>
    <row r="11" spans="1:4">
      <c r="B11" s="2" t="s">
        <v>4</v>
      </c>
    </row>
    <row r="12" spans="1:4">
      <c r="B12" s="9" t="s">
        <v>5</v>
      </c>
    </row>
    <row r="13" spans="1:4">
      <c r="B13" s="9" t="s">
        <v>6</v>
      </c>
    </row>
    <row r="14" spans="1:4">
      <c r="B14" s="9" t="s">
        <v>7</v>
      </c>
      <c r="C14" s="22">
        <f>SUM(C9:C13)</f>
        <v>18251.53269493844</v>
      </c>
      <c r="D14" s="22">
        <f>SUM(D9:D13)</f>
        <v>36234.817409159012</v>
      </c>
    </row>
    <row r="15" spans="1:4">
      <c r="B15" s="2" t="s">
        <v>21</v>
      </c>
      <c r="C15" s="24">
        <f>C7+C14</f>
        <v>738251.53269493848</v>
      </c>
      <c r="D15" s="24">
        <f>D7+D14</f>
        <v>1496234.8174091589</v>
      </c>
    </row>
    <row r="16" spans="1:4">
      <c r="B16" s="9" t="s">
        <v>22</v>
      </c>
      <c r="C16" s="23">
        <v>0</v>
      </c>
      <c r="D16" s="23">
        <v>0</v>
      </c>
    </row>
    <row r="17" spans="1:4">
      <c r="C17" s="23"/>
    </row>
    <row r="18" spans="1:4">
      <c r="A18">
        <v>76</v>
      </c>
      <c r="B18" s="7" t="s">
        <v>8</v>
      </c>
      <c r="C18" s="23"/>
    </row>
    <row r="19" spans="1:4">
      <c r="B19" s="9" t="s">
        <v>9</v>
      </c>
      <c r="C19" s="23"/>
    </row>
    <row r="20" spans="1:4">
      <c r="B20" s="9" t="s">
        <v>10</v>
      </c>
      <c r="C20" s="23"/>
    </row>
    <row r="21" spans="1:4">
      <c r="B21" s="9" t="s">
        <v>11</v>
      </c>
      <c r="C21" s="23"/>
    </row>
    <row r="22" spans="1:4">
      <c r="B22" s="9" t="s">
        <v>12</v>
      </c>
      <c r="C22" s="23"/>
    </row>
    <row r="23" spans="1:4">
      <c r="B23" s="9" t="s">
        <v>13</v>
      </c>
      <c r="C23" s="23"/>
    </row>
    <row r="24" spans="1:4">
      <c r="B24" s="9" t="s">
        <v>14</v>
      </c>
      <c r="C24" s="23"/>
    </row>
    <row r="25" spans="1:4">
      <c r="B25" s="10" t="s">
        <v>23</v>
      </c>
      <c r="C25" s="23">
        <f>SUM(C19:C24)</f>
        <v>0</v>
      </c>
      <c r="D25" s="23">
        <f>SUM(D19:D24)</f>
        <v>0</v>
      </c>
    </row>
    <row r="26" spans="1:4">
      <c r="C26" s="23"/>
    </row>
    <row r="27" spans="1:4">
      <c r="A27">
        <v>77</v>
      </c>
      <c r="B27" s="7" t="s">
        <v>15</v>
      </c>
      <c r="C27" s="23"/>
    </row>
    <row r="28" spans="1:4">
      <c r="B28" s="9" t="s">
        <v>16</v>
      </c>
      <c r="C28" s="23"/>
    </row>
    <row r="29" spans="1:4">
      <c r="B29" s="9" t="s">
        <v>17</v>
      </c>
      <c r="C29" s="23"/>
    </row>
    <row r="30" spans="1:4">
      <c r="A30">
        <v>78</v>
      </c>
      <c r="B30" s="9" t="s">
        <v>36</v>
      </c>
      <c r="C30" s="23"/>
    </row>
    <row r="31" spans="1:4">
      <c r="A31">
        <v>79</v>
      </c>
      <c r="B31" s="9" t="s">
        <v>35</v>
      </c>
      <c r="C31" s="23"/>
    </row>
    <row r="32" spans="1:4">
      <c r="B32" s="7" t="s">
        <v>24</v>
      </c>
      <c r="C32" s="23">
        <f>SUM(C28:C31)</f>
        <v>0</v>
      </c>
      <c r="D32" s="23">
        <f>SUM(D28:D31)</f>
        <v>0</v>
      </c>
    </row>
    <row r="33" spans="2:4">
      <c r="C33" s="23"/>
    </row>
    <row r="34" spans="2:4">
      <c r="B34" s="1" t="s">
        <v>25</v>
      </c>
      <c r="C34" s="24">
        <f>C15+C16+C25+C32</f>
        <v>738251.53269493848</v>
      </c>
      <c r="D34" s="24">
        <f>D15+D16+D25+D32</f>
        <v>1496234.8174091589</v>
      </c>
    </row>
    <row r="35" spans="2:4">
      <c r="B35" t="s">
        <v>18</v>
      </c>
      <c r="C35" s="22">
        <v>0</v>
      </c>
      <c r="D35" s="22">
        <v>0</v>
      </c>
    </row>
    <row r="36" spans="2:4">
      <c r="B36" s="1" t="s">
        <v>19</v>
      </c>
      <c r="C36" s="24">
        <f>C34-C35</f>
        <v>738251.53269493848</v>
      </c>
      <c r="D36" s="24">
        <f>D34-D35</f>
        <v>1496234.8174091589</v>
      </c>
    </row>
  </sheetData>
  <phoneticPr fontId="0" type="noConversion"/>
  <printOptions headings="1" gridLines="1"/>
  <pageMargins left="0.78740157499999996" right="0.78740157499999996" top="0.984251969" bottom="0.984251969" header="0.4921259845" footer="0.492125984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>
  <sheetPr enableFormatConditionsCalculation="0">
    <outlinePr summaryBelow="0"/>
    <pageSetUpPr fitToPage="1"/>
  </sheetPr>
  <dimension ref="A1:H73"/>
  <sheetViews>
    <sheetView topLeftCell="A8" workbookViewId="0">
      <selection activeCell="D49" sqref="D49"/>
    </sheetView>
  </sheetViews>
  <sheetFormatPr baseColWidth="10" defaultRowHeight="12.75" outlineLevelRow="3"/>
  <cols>
    <col min="1" max="1" width="5.28515625" bestFit="1" customWidth="1"/>
    <col min="2" max="2" width="69.28515625" bestFit="1" customWidth="1"/>
    <col min="3" max="3" width="10.42578125" bestFit="1" customWidth="1"/>
    <col min="4" max="4" width="12.42578125" bestFit="1" customWidth="1"/>
    <col min="5" max="5" width="21" bestFit="1" customWidth="1"/>
    <col min="6" max="6" width="17.42578125" bestFit="1" customWidth="1"/>
    <col min="7" max="7" width="12.85546875" bestFit="1" customWidth="1"/>
    <col min="8" max="8" width="12.140625" bestFit="1" customWidth="1"/>
  </cols>
  <sheetData>
    <row r="1" spans="1:8">
      <c r="C1" s="6" t="s">
        <v>20</v>
      </c>
      <c r="D1" s="6" t="s">
        <v>431</v>
      </c>
      <c r="E1" s="207"/>
      <c r="F1" s="324"/>
      <c r="G1" s="324"/>
      <c r="H1" s="325"/>
    </row>
    <row r="2" spans="1:8">
      <c r="A2" t="s">
        <v>34</v>
      </c>
      <c r="C2" s="6" t="s">
        <v>152</v>
      </c>
      <c r="D2" s="6" t="s">
        <v>152</v>
      </c>
      <c r="E2" s="158" t="s">
        <v>588</v>
      </c>
      <c r="F2" s="162" t="s">
        <v>279</v>
      </c>
      <c r="G2" s="162" t="s">
        <v>589</v>
      </c>
      <c r="H2" s="173" t="s">
        <v>590</v>
      </c>
    </row>
    <row r="3" spans="1:8">
      <c r="B3" s="1" t="s">
        <v>33</v>
      </c>
      <c r="E3" s="326"/>
      <c r="F3" s="322"/>
      <c r="G3" s="323"/>
      <c r="H3" s="327"/>
    </row>
    <row r="4" spans="1:8">
      <c r="B4" s="1" t="s">
        <v>26</v>
      </c>
      <c r="E4" s="326"/>
      <c r="F4" s="322"/>
      <c r="G4" s="323"/>
      <c r="H4" s="327"/>
    </row>
    <row r="5" spans="1:8" outlineLevel="1">
      <c r="B5" s="9" t="s">
        <v>27</v>
      </c>
      <c r="E5" s="326"/>
      <c r="F5" s="322"/>
      <c r="G5" s="323"/>
      <c r="H5" s="327"/>
    </row>
    <row r="6" spans="1:8" ht="13.5" outlineLevel="1" thickBot="1">
      <c r="B6" s="9" t="s">
        <v>28</v>
      </c>
      <c r="D6" s="22"/>
      <c r="E6" s="328"/>
      <c r="F6" s="329"/>
      <c r="G6" s="330"/>
      <c r="H6" s="331"/>
    </row>
    <row r="7" spans="1:8" outlineLevel="1">
      <c r="B7" s="9" t="s">
        <v>29</v>
      </c>
    </row>
    <row r="8" spans="1:8" outlineLevel="1">
      <c r="B8" s="9" t="s">
        <v>28</v>
      </c>
    </row>
    <row r="9" spans="1:8" outlineLevel="1">
      <c r="B9" t="s">
        <v>158</v>
      </c>
      <c r="C9" s="23">
        <f>C10+C13</f>
        <v>180860</v>
      </c>
      <c r="D9" s="23">
        <f>D10+D13</f>
        <v>473060.00000000006</v>
      </c>
    </row>
    <row r="10" spans="1:8" outlineLevel="2">
      <c r="B10" s="13" t="s">
        <v>136</v>
      </c>
      <c r="C10" s="23">
        <f>SUM(C11:C12)</f>
        <v>131520</v>
      </c>
      <c r="D10" s="23">
        <f>SUM(D11:D12)</f>
        <v>379200.00000000006</v>
      </c>
    </row>
    <row r="11" spans="1:8" outlineLevel="3">
      <c r="B11" s="14" t="s">
        <v>445</v>
      </c>
      <c r="C11" s="23">
        <f>(SUM('Trésorerie '!C4:N4)*'Trésorerie '!B9)/1.196</f>
        <v>131520</v>
      </c>
      <c r="D11" s="23">
        <f>SUM('Trésorerie '!O9:Z9)/1.196</f>
        <v>263040.00000000006</v>
      </c>
    </row>
    <row r="12" spans="1:8" outlineLevel="3">
      <c r="B12" s="14" t="s">
        <v>446</v>
      </c>
      <c r="C12" s="23">
        <f>(SUM('Trésorerie '!C5:N5)*'Trésorerie '!B10)/1.196</f>
        <v>0</v>
      </c>
      <c r="D12" s="23">
        <f>SUM('Trésorerie '!O10:Z10)/1.196</f>
        <v>116160</v>
      </c>
    </row>
    <row r="13" spans="1:8" outlineLevel="2" collapsed="1">
      <c r="B13" s="15" t="s">
        <v>154</v>
      </c>
      <c r="C13" s="23">
        <f>'Personnel,salaires'!P15*'Tableau simu'!B51</f>
        <v>49340</v>
      </c>
      <c r="D13" s="23">
        <f>'Personnel,salaires'!AD15*'Tableau simu'!C51</f>
        <v>93860</v>
      </c>
    </row>
    <row r="14" spans="1:8" hidden="1" outlineLevel="3">
      <c r="B14" s="14" t="s">
        <v>137</v>
      </c>
      <c r="C14" s="23"/>
      <c r="D14" s="23">
        <f>'Personnel,salaires'!AD16*'Tableau simu'!C52</f>
        <v>0</v>
      </c>
    </row>
    <row r="15" spans="1:8" hidden="1" outlineLevel="3">
      <c r="B15" s="14" t="s">
        <v>138</v>
      </c>
      <c r="C15" s="23"/>
      <c r="D15" s="23">
        <f>'Personnel,salaires'!AD17*'Tableau simu'!C53</f>
        <v>0</v>
      </c>
    </row>
    <row r="16" spans="1:8" hidden="1" outlineLevel="3">
      <c r="B16" s="14" t="s">
        <v>149</v>
      </c>
      <c r="C16" s="23"/>
      <c r="D16" s="23">
        <f>'Personnel,salaires'!AD18*'Tableau simu'!C54</f>
        <v>0</v>
      </c>
    </row>
    <row r="17" spans="2:4" hidden="1" outlineLevel="3">
      <c r="B17" s="14" t="s">
        <v>146</v>
      </c>
      <c r="C17" s="23"/>
      <c r="D17" s="23">
        <f>'Personnel,salaires'!AD19*'Tableau simu'!C55</f>
        <v>0</v>
      </c>
    </row>
    <row r="18" spans="2:4" hidden="1" outlineLevel="3">
      <c r="B18" s="14" t="s">
        <v>147</v>
      </c>
      <c r="C18" s="23"/>
      <c r="D18" s="23">
        <f>'Personnel,salaires'!AD20*'Tableau simu'!C56</f>
        <v>0</v>
      </c>
    </row>
    <row r="19" spans="2:4" hidden="1" outlineLevel="3">
      <c r="B19" s="14" t="s">
        <v>139</v>
      </c>
      <c r="C19" s="23"/>
      <c r="D19" s="23">
        <f>'Personnel,salaires'!AD21*'Tableau simu'!C57</f>
        <v>0</v>
      </c>
    </row>
    <row r="20" spans="2:4" hidden="1" outlineLevel="3">
      <c r="B20" s="14" t="s">
        <v>140</v>
      </c>
      <c r="C20" s="23"/>
      <c r="D20" s="23">
        <f>'Personnel,salaires'!AD22*'Tableau simu'!C58</f>
        <v>0</v>
      </c>
    </row>
    <row r="21" spans="2:4" hidden="1" outlineLevel="3">
      <c r="B21" s="14" t="s">
        <v>148</v>
      </c>
      <c r="C21" s="23"/>
      <c r="D21" s="23">
        <f>'Personnel,salaires'!AD23*'Tableau simu'!C59</f>
        <v>0</v>
      </c>
    </row>
    <row r="22" spans="2:4" hidden="1" outlineLevel="3">
      <c r="B22" s="14" t="s">
        <v>141</v>
      </c>
      <c r="C22" s="23"/>
      <c r="D22" s="23">
        <f>'Personnel,salaires'!AD24*'Tableau simu'!C60</f>
        <v>0</v>
      </c>
    </row>
    <row r="23" spans="2:4" hidden="1" outlineLevel="3">
      <c r="B23" s="14" t="s">
        <v>142</v>
      </c>
      <c r="C23" s="23"/>
      <c r="D23" s="23">
        <f>'Personnel,salaires'!AD25*'Tableau simu'!C61</f>
        <v>0</v>
      </c>
    </row>
    <row r="24" spans="2:4" hidden="1" outlineLevel="3">
      <c r="B24" s="14" t="s">
        <v>143</v>
      </c>
      <c r="C24" s="23"/>
      <c r="D24" s="23">
        <f>'Personnel,salaires'!AD26*'Tableau simu'!C62</f>
        <v>0</v>
      </c>
    </row>
    <row r="25" spans="2:4" hidden="1" outlineLevel="3">
      <c r="B25" s="14" t="s">
        <v>144</v>
      </c>
      <c r="C25" s="23"/>
      <c r="D25" s="23">
        <f>'Personnel,salaires'!AD27*'Tableau simu'!C63</f>
        <v>0</v>
      </c>
    </row>
    <row r="26" spans="2:4" hidden="1" outlineLevel="3">
      <c r="B26" s="14" t="s">
        <v>145</v>
      </c>
      <c r="C26" s="23"/>
      <c r="D26" s="23">
        <f>'Personnel,salaires'!AD28*'Tableau simu'!C64</f>
        <v>0</v>
      </c>
    </row>
    <row r="27" spans="2:4" s="13" customFormat="1" outlineLevel="1" collapsed="1">
      <c r="B27" s="13" t="s">
        <v>156</v>
      </c>
      <c r="C27" s="29">
        <f>'Personnel,salaires'!P15*'Tableau simu'!B52</f>
        <v>19736</v>
      </c>
      <c r="D27" s="23">
        <f>'Personnel,salaires'!AD15*'Tableau simu'!C52</f>
        <v>37544</v>
      </c>
    </row>
    <row r="28" spans="2:4" hidden="1" outlineLevel="2">
      <c r="B28" s="3" t="s">
        <v>123</v>
      </c>
      <c r="C28" s="23"/>
      <c r="D28" s="23"/>
    </row>
    <row r="29" spans="2:4" hidden="1" outlineLevel="2">
      <c r="B29" s="3" t="s">
        <v>124</v>
      </c>
      <c r="C29" s="23"/>
      <c r="D29" s="23"/>
    </row>
    <row r="30" spans="2:4" hidden="1" outlineLevel="2">
      <c r="B30" s="3" t="s">
        <v>125</v>
      </c>
      <c r="C30" s="23"/>
      <c r="D30" s="23"/>
    </row>
    <row r="31" spans="2:4" hidden="1" outlineLevel="2">
      <c r="B31" s="3" t="s">
        <v>126</v>
      </c>
      <c r="C31" s="23"/>
      <c r="D31" s="23"/>
    </row>
    <row r="32" spans="2:4" hidden="1" outlineLevel="2">
      <c r="B32" s="3" t="s">
        <v>127</v>
      </c>
      <c r="C32" s="23"/>
      <c r="D32" s="23"/>
    </row>
    <row r="33" spans="2:4" hidden="1" outlineLevel="2">
      <c r="B33" s="11" t="s">
        <v>128</v>
      </c>
      <c r="C33" s="23"/>
      <c r="D33" s="23"/>
    </row>
    <row r="34" spans="2:4" outlineLevel="1">
      <c r="B34" t="s">
        <v>155</v>
      </c>
      <c r="C34" s="23">
        <f>'Personnel,salaires'!P15</f>
        <v>246700</v>
      </c>
      <c r="D34" s="23">
        <f>'Personnel,salaires'!AD15</f>
        <v>469300</v>
      </c>
    </row>
    <row r="35" spans="2:4" outlineLevel="1" collapsed="1">
      <c r="B35" t="s">
        <v>157</v>
      </c>
      <c r="C35" s="23">
        <f>'Personnel,salaires'!P15*'Tableau simu'!B49</f>
        <v>123350</v>
      </c>
      <c r="D35" s="23">
        <f>'Personnel,salaires'!AD15*'Tableau simu'!C49</f>
        <v>234650</v>
      </c>
    </row>
    <row r="36" spans="2:4" hidden="1" outlineLevel="2">
      <c r="B36" s="3" t="s">
        <v>117</v>
      </c>
      <c r="C36" s="23"/>
      <c r="D36" s="23"/>
    </row>
    <row r="37" spans="2:4" hidden="1" outlineLevel="2">
      <c r="B37" s="3" t="s">
        <v>121</v>
      </c>
      <c r="C37" s="23"/>
      <c r="D37" s="23"/>
    </row>
    <row r="38" spans="2:4" hidden="1" outlineLevel="2">
      <c r="B38" s="3" t="s">
        <v>118</v>
      </c>
      <c r="C38" s="23"/>
      <c r="D38" s="23"/>
    </row>
    <row r="39" spans="2:4" hidden="1" outlineLevel="2">
      <c r="B39" s="3" t="s">
        <v>119</v>
      </c>
      <c r="C39" s="23"/>
      <c r="D39" s="23"/>
    </row>
    <row r="40" spans="2:4" hidden="1" outlineLevel="2">
      <c r="B40" s="3" t="s">
        <v>120</v>
      </c>
      <c r="C40" s="23"/>
      <c r="D40" s="23"/>
    </row>
    <row r="41" spans="2:4" hidden="1" outlineLevel="2">
      <c r="B41" s="3" t="s">
        <v>122</v>
      </c>
      <c r="C41" s="23"/>
      <c r="D41" s="23"/>
    </row>
    <row r="42" spans="2:4" outlineLevel="1" collapsed="1">
      <c r="B42" t="s">
        <v>32</v>
      </c>
      <c r="C42" s="23">
        <f>SUM(C43:C46)</f>
        <v>21420.833333333336</v>
      </c>
      <c r="D42" s="23">
        <f>SUM(D43:D46)</f>
        <v>29165.277777777777</v>
      </c>
    </row>
    <row r="43" spans="2:4" hidden="1" outlineLevel="2">
      <c r="B43" s="3" t="s">
        <v>179</v>
      </c>
      <c r="C43" s="23">
        <f>Immo!C28+Immo!C35</f>
        <v>21420.833333333336</v>
      </c>
      <c r="D43" s="23">
        <f>Immo!M28+Immo!M35</f>
        <v>29165.277777777777</v>
      </c>
    </row>
    <row r="44" spans="2:4" hidden="1" outlineLevel="2">
      <c r="B44" s="11" t="s">
        <v>37</v>
      </c>
      <c r="C44" s="23"/>
      <c r="D44" s="23"/>
    </row>
    <row r="45" spans="2:4" hidden="1" outlineLevel="2">
      <c r="B45" s="11" t="s">
        <v>38</v>
      </c>
      <c r="C45" s="23"/>
      <c r="D45" s="23"/>
    </row>
    <row r="46" spans="2:4" hidden="1" outlineLevel="2">
      <c r="B46" s="11" t="s">
        <v>39</v>
      </c>
      <c r="C46" s="23"/>
      <c r="D46" s="23"/>
    </row>
    <row r="47" spans="2:4" outlineLevel="1">
      <c r="B47" s="15" t="s">
        <v>463</v>
      </c>
      <c r="C47" s="23">
        <f>SUM('Trésorerie '!C29:N29)</f>
        <v>12000</v>
      </c>
      <c r="D47" s="23">
        <f>COUNTIF('Trésorerie '!O4:Z4,1)*2000</f>
        <v>24000</v>
      </c>
    </row>
    <row r="48" spans="2:4" outlineLevel="1">
      <c r="B48" s="15" t="s">
        <v>462</v>
      </c>
      <c r="C48" s="23">
        <f>2000*COUNTIF('Trésorerie '!C5:N5,"1")</f>
        <v>0</v>
      </c>
      <c r="D48" s="23">
        <f>COUNTIF('Trésorerie '!O5:Y5,1)*2000</f>
        <v>6000</v>
      </c>
    </row>
    <row r="49" spans="2:4">
      <c r="B49" s="5" t="s">
        <v>40</v>
      </c>
      <c r="C49" s="30">
        <f>C9+C27+C34+C35+C42+C47+C48</f>
        <v>604066.83333333337</v>
      </c>
      <c r="D49" s="30">
        <f>D9+D27+D34+D35+D42+D47+D48</f>
        <v>1273719.2777777778</v>
      </c>
    </row>
    <row r="50" spans="2:4">
      <c r="B50" s="12" t="s">
        <v>41</v>
      </c>
      <c r="C50" s="23">
        <v>0</v>
      </c>
      <c r="D50" s="23">
        <v>0</v>
      </c>
    </row>
    <row r="51" spans="2:4">
      <c r="B51" s="4"/>
      <c r="C51" s="23"/>
      <c r="D51" s="23"/>
    </row>
    <row r="52" spans="2:4">
      <c r="B52" s="5" t="s">
        <v>42</v>
      </c>
      <c r="C52" s="30"/>
      <c r="D52" s="23"/>
    </row>
    <row r="53" spans="2:4" outlineLevel="1">
      <c r="B53" s="12" t="s">
        <v>44</v>
      </c>
      <c r="C53" s="23"/>
      <c r="D53" s="23"/>
    </row>
    <row r="54" spans="2:4" outlineLevel="1">
      <c r="B54" s="4" t="s">
        <v>278</v>
      </c>
      <c r="C54" s="31">
        <f>SUM('Trésorerie '!C56:N56)</f>
        <v>3910.9321446057802</v>
      </c>
      <c r="D54" s="23">
        <f>SUM('Trésorerie '!O56:Z56)</f>
        <v>2452.6096389398072</v>
      </c>
    </row>
    <row r="55" spans="2:4" outlineLevel="1">
      <c r="B55" s="4" t="s">
        <v>279</v>
      </c>
      <c r="C55" s="31">
        <f>SUM('Trésorerie '!C55:N55)</f>
        <v>3372.8554475734973</v>
      </c>
      <c r="D55" s="23">
        <f>SUM('Trésorerie '!O55:Z55)</f>
        <v>0</v>
      </c>
    </row>
    <row r="56" spans="2:4" outlineLevel="1">
      <c r="B56" s="12" t="s">
        <v>45</v>
      </c>
      <c r="C56" s="23"/>
      <c r="D56" s="23"/>
    </row>
    <row r="57" spans="2:4" outlineLevel="1">
      <c r="B57" s="12" t="s">
        <v>46</v>
      </c>
      <c r="C57" s="23"/>
      <c r="D57" s="23"/>
    </row>
    <row r="58" spans="2:4">
      <c r="B58" s="5" t="s">
        <v>47</v>
      </c>
      <c r="C58" s="30">
        <f>SUM(C54:C55)</f>
        <v>7283.7875921792775</v>
      </c>
      <c r="D58" s="30">
        <f>SUM(D54:D55)</f>
        <v>2452.6096389398072</v>
      </c>
    </row>
    <row r="59" spans="2:4">
      <c r="B59" s="4"/>
      <c r="C59" s="23"/>
      <c r="D59" s="23"/>
    </row>
    <row r="60" spans="2:4" collapsed="1">
      <c r="B60" s="16" t="s">
        <v>48</v>
      </c>
      <c r="C60" s="23"/>
      <c r="D60" s="23"/>
    </row>
    <row r="61" spans="2:4" hidden="1" outlineLevel="1">
      <c r="B61" s="12" t="s">
        <v>16</v>
      </c>
      <c r="C61" s="23"/>
      <c r="D61" s="23"/>
    </row>
    <row r="62" spans="2:4" hidden="1" outlineLevel="1">
      <c r="B62" s="12" t="s">
        <v>49</v>
      </c>
      <c r="C62" s="23"/>
      <c r="D62" s="23"/>
    </row>
    <row r="63" spans="2:4" hidden="1" outlineLevel="1">
      <c r="B63" s="12" t="s">
        <v>44</v>
      </c>
      <c r="C63" s="23"/>
      <c r="D63" s="23"/>
    </row>
    <row r="64" spans="2:4">
      <c r="B64" s="16" t="s">
        <v>50</v>
      </c>
      <c r="C64" s="23">
        <f>SUM(C61:C63)</f>
        <v>0</v>
      </c>
      <c r="D64" s="23">
        <f>SUM(D61:D63)</f>
        <v>0</v>
      </c>
    </row>
    <row r="65" spans="2:4">
      <c r="B65" s="16" t="s">
        <v>231</v>
      </c>
      <c r="C65" s="30">
        <f>C49+C50+C58+C64</f>
        <v>611350.62092551263</v>
      </c>
      <c r="D65" s="30">
        <f>D49+D50+D58+D64</f>
        <v>1276171.8874167176</v>
      </c>
    </row>
    <row r="66" spans="2:4">
      <c r="B66" s="1" t="s">
        <v>225</v>
      </c>
      <c r="C66" s="30">
        <f>'Produits '!C34-'Charges '!C65</f>
        <v>126900.91176942585</v>
      </c>
      <c r="D66" s="30">
        <f>'Produits '!D34-D65</f>
        <v>220062.92999244132</v>
      </c>
    </row>
    <row r="67" spans="2:4">
      <c r="C67" s="23"/>
      <c r="D67" s="23"/>
    </row>
    <row r="68" spans="2:4">
      <c r="B68" s="12" t="s">
        <v>51</v>
      </c>
      <c r="C68" s="23">
        <f>0</f>
        <v>0</v>
      </c>
      <c r="D68" s="23">
        <f>0</f>
        <v>0</v>
      </c>
    </row>
    <row r="69" spans="2:4">
      <c r="B69" s="5" t="s">
        <v>230</v>
      </c>
      <c r="C69" s="30">
        <f>IF(C66*'Tableau simu'!B53&gt;0,C66*'Tableau simu'!B53,0)</f>
        <v>42296.073892749635</v>
      </c>
      <c r="D69" s="30">
        <f>IF(D66*'Tableau simu'!C53&gt;0,D66*'Tableau simu'!C53,0)</f>
        <v>73346.974566480683</v>
      </c>
    </row>
    <row r="70" spans="2:4">
      <c r="D70" s="23"/>
    </row>
    <row r="71" spans="2:4" ht="15.75">
      <c r="B71" s="25" t="s">
        <v>224</v>
      </c>
      <c r="C71" s="24">
        <f>C66-C69</f>
        <v>84604.837876676203</v>
      </c>
      <c r="D71" s="24">
        <f>D66-D69</f>
        <v>146715.95542596065</v>
      </c>
    </row>
    <row r="72" spans="2:4">
      <c r="D72" s="23"/>
    </row>
    <row r="73" spans="2:4">
      <c r="B73" s="1" t="s">
        <v>19</v>
      </c>
      <c r="C73" s="24">
        <f>C66+C65</f>
        <v>738251.53269493848</v>
      </c>
      <c r="D73" s="24">
        <f>D66+D65</f>
        <v>1496234.8174091589</v>
      </c>
    </row>
  </sheetData>
  <phoneticPr fontId="0" type="noConversion"/>
  <printOptions headings="1" gridLines="1"/>
  <pageMargins left="0.78740157499999996" right="0.78740157499999996" top="0.17" bottom="0.2" header="0.14000000000000001" footer="0.13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>
  <sheetPr enableFormatConditionsCalculation="0">
    <outlinePr summaryBelow="0"/>
    <pageSetUpPr fitToPage="1"/>
  </sheetPr>
  <dimension ref="A1:I44"/>
  <sheetViews>
    <sheetView topLeftCell="A10" workbookViewId="0">
      <selection activeCell="F40" sqref="F40"/>
    </sheetView>
  </sheetViews>
  <sheetFormatPr baseColWidth="10" defaultRowHeight="12.75" outlineLevelRow="2"/>
  <cols>
    <col min="1" max="1" width="5.28515625" bestFit="1" customWidth="1"/>
    <col min="2" max="2" width="98.85546875" bestFit="1" customWidth="1"/>
    <col min="3" max="3" width="14.28515625" bestFit="1" customWidth="1"/>
    <col min="4" max="4" width="14.42578125" style="20" bestFit="1" customWidth="1"/>
    <col min="5" max="5" width="14.28515625" bestFit="1" customWidth="1"/>
    <col min="6" max="6" width="14.42578125" style="20" bestFit="1" customWidth="1"/>
  </cols>
  <sheetData>
    <row r="1" spans="1:6">
      <c r="A1" s="207" t="s">
        <v>34</v>
      </c>
      <c r="B1" s="216" t="s">
        <v>90</v>
      </c>
      <c r="C1" s="484" t="s">
        <v>20</v>
      </c>
      <c r="D1" s="484"/>
      <c r="E1" s="484" t="s">
        <v>431</v>
      </c>
      <c r="F1" s="485"/>
    </row>
    <row r="2" spans="1:6" ht="26.25" customHeight="1">
      <c r="A2" s="158"/>
      <c r="B2" s="217"/>
      <c r="C2" s="218" t="s">
        <v>477</v>
      </c>
      <c r="D2" s="218" t="s">
        <v>478</v>
      </c>
      <c r="E2" s="218" t="s">
        <v>477</v>
      </c>
      <c r="F2" s="228" t="s">
        <v>478</v>
      </c>
    </row>
    <row r="3" spans="1:6">
      <c r="A3" s="158"/>
      <c r="B3" s="219" t="s">
        <v>100</v>
      </c>
      <c r="C3" s="162"/>
      <c r="D3" s="162"/>
      <c r="E3" s="162"/>
      <c r="F3" s="173"/>
    </row>
    <row r="4" spans="1:6" outlineLevel="1">
      <c r="A4" s="158"/>
      <c r="B4" s="162" t="s">
        <v>235</v>
      </c>
      <c r="C4" s="220">
        <f>'Tableau simu'!B55</f>
        <v>50000</v>
      </c>
      <c r="D4" s="220">
        <f>C4</f>
        <v>50000</v>
      </c>
      <c r="E4" s="220">
        <f>C4</f>
        <v>50000</v>
      </c>
      <c r="F4" s="229">
        <f>E4</f>
        <v>50000</v>
      </c>
    </row>
    <row r="5" spans="1:6" outlineLevel="1">
      <c r="A5" s="158"/>
      <c r="B5" s="162" t="s">
        <v>91</v>
      </c>
      <c r="C5" s="221">
        <v>0</v>
      </c>
      <c r="D5" s="221"/>
      <c r="E5" s="162"/>
      <c r="F5" s="173"/>
    </row>
    <row r="6" spans="1:6" outlineLevel="1">
      <c r="A6" s="158"/>
      <c r="B6" s="222" t="s">
        <v>92</v>
      </c>
      <c r="C6" s="221"/>
      <c r="D6" s="221"/>
      <c r="E6" s="162"/>
      <c r="F6" s="173"/>
    </row>
    <row r="7" spans="1:6" outlineLevel="1">
      <c r="A7" s="158"/>
      <c r="B7" s="162" t="s">
        <v>93</v>
      </c>
      <c r="C7" s="221"/>
      <c r="D7" s="221">
        <f>'Charges '!C71-D9-D35</f>
        <v>80374.595982842395</v>
      </c>
      <c r="E7" s="220"/>
      <c r="F7" s="229">
        <f>IF((D8&lt;F8),('Charges '!D71-(F8-D8)),IF((D8=F8),'Charges '!D71,('Charges '!D71+(D8-F8))))+D7</f>
        <v>227090.55140880303</v>
      </c>
    </row>
    <row r="8" spans="1:6" outlineLevel="2">
      <c r="A8" s="158"/>
      <c r="B8" s="223" t="s">
        <v>482</v>
      </c>
      <c r="C8" s="221"/>
      <c r="D8" s="221"/>
      <c r="E8" s="224"/>
      <c r="F8" s="229"/>
    </row>
    <row r="9" spans="1:6" outlineLevel="2">
      <c r="A9" s="158"/>
      <c r="B9" s="223" t="s">
        <v>94</v>
      </c>
      <c r="C9" s="221"/>
      <c r="D9" s="221">
        <f>'Charges '!C71*0.05</f>
        <v>4230.2418938338105</v>
      </c>
      <c r="E9" s="162"/>
      <c r="F9" s="248">
        <f>'Charges '!D71*0.05</f>
        <v>7335.7977712980328</v>
      </c>
    </row>
    <row r="10" spans="1:6" outlineLevel="2">
      <c r="A10" s="158"/>
      <c r="B10" s="223" t="s">
        <v>95</v>
      </c>
      <c r="C10" s="221"/>
      <c r="D10" s="221"/>
      <c r="E10" s="162"/>
      <c r="F10" s="173"/>
    </row>
    <row r="11" spans="1:6" outlineLevel="2">
      <c r="A11" s="158"/>
      <c r="B11" s="223" t="s">
        <v>96</v>
      </c>
      <c r="C11" s="221"/>
      <c r="D11" s="221"/>
      <c r="E11" s="162"/>
      <c r="F11" s="229"/>
    </row>
    <row r="12" spans="1:6" outlineLevel="1">
      <c r="A12" s="158"/>
      <c r="B12" s="162" t="s">
        <v>97</v>
      </c>
      <c r="C12" s="220"/>
      <c r="D12" s="220"/>
      <c r="E12" s="220"/>
      <c r="F12" s="173"/>
    </row>
    <row r="13" spans="1:6" outlineLevel="1">
      <c r="A13" s="158"/>
      <c r="B13" s="225" t="s">
        <v>481</v>
      </c>
      <c r="C13" s="221"/>
      <c r="D13" s="221"/>
      <c r="E13" s="220"/>
      <c r="F13" s="173"/>
    </row>
    <row r="14" spans="1:6" outlineLevel="1">
      <c r="A14" s="158"/>
      <c r="B14" s="162" t="s">
        <v>480</v>
      </c>
      <c r="C14" s="221"/>
      <c r="D14" s="221"/>
      <c r="E14" s="162"/>
      <c r="F14" s="229"/>
    </row>
    <row r="15" spans="1:6" outlineLevel="1">
      <c r="A15" s="158"/>
      <c r="B15" s="222" t="s">
        <v>98</v>
      </c>
      <c r="C15" s="221"/>
      <c r="D15" s="221"/>
      <c r="E15" s="162"/>
      <c r="F15" s="173"/>
    </row>
    <row r="16" spans="1:6" outlineLevel="1">
      <c r="A16" s="158"/>
      <c r="B16" s="222" t="s">
        <v>99</v>
      </c>
      <c r="C16" s="221"/>
      <c r="D16" s="221"/>
      <c r="E16" s="162"/>
      <c r="F16" s="173"/>
    </row>
    <row r="17" spans="1:6">
      <c r="A17" s="158"/>
      <c r="B17" s="219" t="s">
        <v>101</v>
      </c>
      <c r="C17" s="162"/>
      <c r="D17" s="220">
        <f>SUM(D4:D16)</f>
        <v>134604.8378766762</v>
      </c>
      <c r="E17" s="220"/>
      <c r="F17" s="220">
        <f t="shared" ref="E17:F17" si="0">SUM(F4:F16)</f>
        <v>284426.34918010107</v>
      </c>
    </row>
    <row r="18" spans="1:6">
      <c r="A18" s="158"/>
      <c r="B18" s="162"/>
      <c r="C18" s="221"/>
      <c r="D18" s="221"/>
      <c r="E18" s="162"/>
      <c r="F18" s="173"/>
    </row>
    <row r="19" spans="1:6">
      <c r="A19" s="158"/>
      <c r="B19" s="226" t="s">
        <v>102</v>
      </c>
      <c r="C19" s="221"/>
      <c r="D19" s="221"/>
      <c r="E19" s="162"/>
      <c r="F19" s="173"/>
    </row>
    <row r="20" spans="1:6" outlineLevel="1">
      <c r="A20" s="158"/>
      <c r="B20" s="222" t="s">
        <v>103</v>
      </c>
      <c r="C20" s="221"/>
      <c r="D20" s="221"/>
      <c r="E20" s="162"/>
      <c r="F20" s="173"/>
    </row>
    <row r="21" spans="1:6" outlineLevel="1">
      <c r="A21" s="158"/>
      <c r="B21" s="227" t="s">
        <v>104</v>
      </c>
      <c r="C21" s="221"/>
      <c r="D21" s="221"/>
      <c r="E21" s="162"/>
      <c r="F21" s="173"/>
    </row>
    <row r="22" spans="1:6">
      <c r="A22" s="158"/>
      <c r="B22" s="226" t="s">
        <v>112</v>
      </c>
      <c r="C22" s="220"/>
      <c r="D22" s="220">
        <f>SUM(D20:D21)</f>
        <v>0</v>
      </c>
      <c r="E22" s="220"/>
      <c r="F22" s="220">
        <f t="shared" ref="E22:F22" si="1">SUM(F20:F21)</f>
        <v>0</v>
      </c>
    </row>
    <row r="23" spans="1:6">
      <c r="A23" s="158"/>
      <c r="B23" s="162"/>
      <c r="C23" s="221"/>
      <c r="D23" s="221"/>
      <c r="E23" s="162"/>
      <c r="F23" s="173"/>
    </row>
    <row r="24" spans="1:6">
      <c r="A24" s="158"/>
      <c r="B24" s="219" t="s">
        <v>105</v>
      </c>
      <c r="C24" s="221"/>
      <c r="D24" s="221"/>
      <c r="E24" s="162"/>
      <c r="F24" s="173"/>
    </row>
    <row r="25" spans="1:6" outlineLevel="1">
      <c r="A25" s="158"/>
      <c r="B25" s="222" t="s">
        <v>106</v>
      </c>
      <c r="C25" s="221"/>
      <c r="D25" s="221"/>
      <c r="E25" s="162"/>
      <c r="F25" s="173"/>
    </row>
    <row r="26" spans="1:6" outlineLevel="1">
      <c r="A26" s="158"/>
      <c r="B26" s="222" t="s">
        <v>107</v>
      </c>
      <c r="C26" s="221"/>
      <c r="D26" s="221"/>
      <c r="E26" s="162"/>
      <c r="F26" s="173"/>
    </row>
    <row r="27" spans="1:6" outlineLevel="1">
      <c r="A27" s="158"/>
      <c r="B27" s="162" t="s">
        <v>357</v>
      </c>
      <c r="C27" s="221"/>
      <c r="D27" s="221">
        <f>'Trésorerie '!C38-SUM('Trésorerie '!C46:N46)</f>
        <v>44826.796589615726</v>
      </c>
      <c r="E27" s="221"/>
      <c r="F27" s="248">
        <f>D27-SUM('Trésorerie '!O46:Z46)</f>
        <v>23195.270673565483</v>
      </c>
    </row>
    <row r="28" spans="1:6" outlineLevel="1">
      <c r="A28" s="158"/>
      <c r="B28" s="162" t="s">
        <v>108</v>
      </c>
      <c r="C28" s="221"/>
      <c r="D28" s="221"/>
      <c r="E28" s="233"/>
      <c r="F28" s="173"/>
    </row>
    <row r="29" spans="1:6" outlineLevel="1">
      <c r="A29" s="158"/>
      <c r="B29" s="162" t="s">
        <v>532</v>
      </c>
      <c r="C29" s="221"/>
      <c r="D29" s="221"/>
      <c r="E29" s="233"/>
      <c r="F29" s="173"/>
    </row>
    <row r="30" spans="1:6" outlineLevel="1">
      <c r="A30" s="158"/>
      <c r="B30" s="225" t="s">
        <v>234</v>
      </c>
      <c r="C30" s="221"/>
      <c r="D30" s="221">
        <f>'Trésorerie '!N9</f>
        <v>26216.32</v>
      </c>
      <c r="E30" s="221"/>
      <c r="F30" s="248">
        <f>'Trésorerie '!Z9</f>
        <v>26216.32</v>
      </c>
    </row>
    <row r="31" spans="1:6" outlineLevel="1">
      <c r="A31" s="158"/>
      <c r="B31" s="162" t="s">
        <v>574</v>
      </c>
      <c r="C31" s="221"/>
      <c r="D31" s="221">
        <f>'Charges '!C69</f>
        <v>42296.073892749635</v>
      </c>
      <c r="E31" s="221"/>
      <c r="F31" s="248">
        <f>'Charges '!D69</f>
        <v>73346.974566480683</v>
      </c>
    </row>
    <row r="32" spans="1:6" outlineLevel="1">
      <c r="A32" s="158"/>
      <c r="B32" s="162" t="s">
        <v>229</v>
      </c>
      <c r="C32" s="221"/>
      <c r="D32" s="221">
        <f>'Trésorerie '!O26</f>
        <v>12150</v>
      </c>
      <c r="E32" s="221"/>
      <c r="F32" s="248">
        <f>'Trésorerie '!AA26</f>
        <v>21200</v>
      </c>
    </row>
    <row r="33" spans="1:9" outlineLevel="1">
      <c r="A33" s="158"/>
      <c r="B33" s="162" t="s">
        <v>109</v>
      </c>
      <c r="C33" s="221"/>
      <c r="D33" s="221"/>
      <c r="E33" s="221"/>
      <c r="F33" s="173"/>
      <c r="I33" s="22"/>
    </row>
    <row r="34" spans="1:9" outlineLevel="1">
      <c r="A34" s="158"/>
      <c r="B34" s="225" t="s">
        <v>573</v>
      </c>
      <c r="C34" s="221"/>
      <c r="D34" s="221">
        <f>TVA!N10</f>
        <v>39200</v>
      </c>
      <c r="E34" s="221"/>
      <c r="F34" s="229">
        <v>31360</v>
      </c>
    </row>
    <row r="35" spans="1:9" outlineLevel="1">
      <c r="A35" s="158"/>
      <c r="B35" s="225" t="s">
        <v>479</v>
      </c>
      <c r="C35" s="221"/>
      <c r="D35" s="220"/>
      <c r="E35" s="221"/>
      <c r="F35" s="230"/>
    </row>
    <row r="36" spans="1:9" outlineLevel="1">
      <c r="A36" s="158"/>
      <c r="B36" s="219" t="s">
        <v>310</v>
      </c>
      <c r="C36" s="221"/>
      <c r="D36" s="221">
        <f>IF('Trésorerie '!O3&gt;0,0,'Trésorerie '!O3)</f>
        <v>0</v>
      </c>
      <c r="E36" s="221"/>
      <c r="F36" s="248">
        <f>IF('Trésorerie '!AA3&gt;0,0,'Trésorerie '!AA3)</f>
        <v>0</v>
      </c>
    </row>
    <row r="37" spans="1:9">
      <c r="A37" s="158"/>
      <c r="B37" s="219" t="s">
        <v>113</v>
      </c>
      <c r="C37" s="162"/>
      <c r="D37" s="220">
        <f>SUM(D25:D36)</f>
        <v>164689.19048236537</v>
      </c>
      <c r="E37" s="220"/>
      <c r="F37" s="220">
        <f t="shared" ref="E37:F37" si="2">SUM(F25:F36)</f>
        <v>175318.56524004618</v>
      </c>
    </row>
    <row r="38" spans="1:9">
      <c r="A38" s="158"/>
      <c r="B38" s="162"/>
      <c r="C38" s="221"/>
      <c r="D38" s="221"/>
      <c r="E38" s="162"/>
      <c r="F38" s="173"/>
    </row>
    <row r="39" spans="1:9">
      <c r="A39" s="158"/>
      <c r="B39" s="226" t="s">
        <v>85</v>
      </c>
      <c r="C39" s="221"/>
      <c r="D39" s="221"/>
      <c r="E39" s="162"/>
      <c r="F39" s="173"/>
    </row>
    <row r="40" spans="1:9" outlineLevel="1">
      <c r="A40" s="158"/>
      <c r="B40" s="222" t="s">
        <v>110</v>
      </c>
      <c r="C40" s="221"/>
      <c r="D40" s="221"/>
      <c r="E40" s="162"/>
      <c r="F40" s="173"/>
    </row>
    <row r="41" spans="1:9" outlineLevel="1">
      <c r="A41" s="158"/>
      <c r="B41" s="222" t="s">
        <v>111</v>
      </c>
      <c r="C41" s="221"/>
      <c r="D41" s="221"/>
      <c r="E41" s="162"/>
      <c r="F41" s="173"/>
    </row>
    <row r="42" spans="1:9">
      <c r="A42" s="158"/>
      <c r="B42" s="226" t="s">
        <v>89</v>
      </c>
      <c r="C42" s="224"/>
      <c r="D42" s="220">
        <f>SUM(D40:D41)</f>
        <v>0</v>
      </c>
      <c r="E42" s="220"/>
      <c r="F42" s="220">
        <f t="shared" ref="E42:F42" si="3">SUM(F40:F41)</f>
        <v>0</v>
      </c>
    </row>
    <row r="43" spans="1:9">
      <c r="A43" s="158"/>
      <c r="B43" s="162"/>
      <c r="C43" s="221"/>
      <c r="D43" s="221"/>
      <c r="E43" s="162"/>
      <c r="F43" s="173"/>
    </row>
    <row r="44" spans="1:9" ht="13.5" thickBot="1">
      <c r="A44" s="159"/>
      <c r="B44" s="231" t="s">
        <v>114</v>
      </c>
      <c r="C44" s="213"/>
      <c r="D44" s="232">
        <f>D17+D22+D37+D42</f>
        <v>299294.02835904155</v>
      </c>
      <c r="E44" s="232"/>
      <c r="F44" s="232">
        <f>F17+F22+F37+F42</f>
        <v>459744.91442014725</v>
      </c>
    </row>
  </sheetData>
  <mergeCells count="2">
    <mergeCell ref="C1:D1"/>
    <mergeCell ref="E1:F1"/>
  </mergeCells>
  <phoneticPr fontId="0" type="noConversion"/>
  <printOptions headings="1" gridLines="1"/>
  <pageMargins left="0.78740157499999996" right="0.78740157499999996" top="0.32" bottom="0.25" header="0.25" footer="0.18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>
  <sheetPr enableFormatConditionsCalculation="0">
    <outlinePr summaryBelow="0"/>
    <pageSetUpPr fitToPage="1"/>
  </sheetPr>
  <dimension ref="A1:K56"/>
  <sheetViews>
    <sheetView topLeftCell="A22" workbookViewId="0">
      <selection activeCell="J43" sqref="J43"/>
    </sheetView>
  </sheetViews>
  <sheetFormatPr baseColWidth="10" defaultRowHeight="12.75" outlineLevelRow="1"/>
  <cols>
    <col min="1" max="1" width="5.28515625" bestFit="1" customWidth="1"/>
    <col min="2" max="2" width="80.85546875" bestFit="1" customWidth="1"/>
    <col min="3" max="4" width="9.140625" bestFit="1" customWidth="1"/>
    <col min="5" max="5" width="10.140625" bestFit="1" customWidth="1"/>
    <col min="6" max="6" width="10.140625" customWidth="1"/>
    <col min="7" max="7" width="9.7109375" bestFit="1" customWidth="1"/>
  </cols>
  <sheetData>
    <row r="1" spans="1:8">
      <c r="A1" t="s">
        <v>34</v>
      </c>
      <c r="B1" s="161" t="s">
        <v>52</v>
      </c>
      <c r="C1" s="484" t="s">
        <v>20</v>
      </c>
      <c r="D1" s="484"/>
      <c r="E1" s="484"/>
      <c r="F1" s="484" t="s">
        <v>431</v>
      </c>
      <c r="G1" s="484"/>
      <c r="H1" s="485"/>
    </row>
    <row r="2" spans="1:8" ht="25.5">
      <c r="B2" s="235"/>
      <c r="C2" s="218" t="s">
        <v>539</v>
      </c>
      <c r="D2" s="218" t="s">
        <v>116</v>
      </c>
      <c r="E2" s="218" t="s">
        <v>455</v>
      </c>
      <c r="F2" s="218" t="s">
        <v>540</v>
      </c>
      <c r="G2" s="218" t="s">
        <v>116</v>
      </c>
      <c r="H2" s="228" t="s">
        <v>456</v>
      </c>
    </row>
    <row r="3" spans="1:8">
      <c r="B3" s="236" t="s">
        <v>86</v>
      </c>
      <c r="C3" s="162"/>
      <c r="D3" s="162"/>
      <c r="E3" s="234"/>
      <c r="F3" s="219"/>
      <c r="G3" s="162"/>
      <c r="H3" s="242"/>
    </row>
    <row r="4" spans="1:8">
      <c r="B4" s="236" t="s">
        <v>83</v>
      </c>
      <c r="C4" s="162"/>
      <c r="D4" s="162"/>
      <c r="E4" s="162"/>
      <c r="F4" s="162"/>
      <c r="G4" s="162"/>
      <c r="H4" s="173"/>
    </row>
    <row r="5" spans="1:8">
      <c r="B5" s="236" t="s">
        <v>53</v>
      </c>
      <c r="C5" s="220">
        <f>SUM(C6:C7)</f>
        <v>24000</v>
      </c>
      <c r="D5" s="220">
        <f>SUM(D6:D7)</f>
        <v>8000</v>
      </c>
      <c r="E5" s="220">
        <f>C5-D5</f>
        <v>16000</v>
      </c>
      <c r="F5" s="567">
        <f>[2]Immo!M34</f>
        <v>0</v>
      </c>
      <c r="G5" s="567">
        <f>[2]Immo!M35</f>
        <v>8000</v>
      </c>
      <c r="H5" s="568">
        <f>(E5-G5)+F5</f>
        <v>8000</v>
      </c>
    </row>
    <row r="6" spans="1:8" outlineLevel="1">
      <c r="B6" s="158" t="s">
        <v>54</v>
      </c>
      <c r="C6" s="221">
        <f>Immo!C31</f>
        <v>6000</v>
      </c>
      <c r="D6" s="221">
        <f>Immo!E31</f>
        <v>2000</v>
      </c>
      <c r="E6" s="220">
        <f t="shared" ref="E6:E7" si="0">C6-D6</f>
        <v>4000</v>
      </c>
      <c r="F6" s="566">
        <f>[2]Immo!M31</f>
        <v>0</v>
      </c>
      <c r="G6" s="569">
        <f>[2]Immo!O31</f>
        <v>2000</v>
      </c>
      <c r="H6" s="570">
        <f>(E6-G6)+F6</f>
        <v>2000</v>
      </c>
    </row>
    <row r="7" spans="1:8" outlineLevel="1">
      <c r="B7" s="238" t="s">
        <v>55</v>
      </c>
      <c r="C7" s="221">
        <f>Immo!C32</f>
        <v>18000</v>
      </c>
      <c r="D7" s="221">
        <f>Immo!E32</f>
        <v>6000</v>
      </c>
      <c r="E7" s="220">
        <f t="shared" si="0"/>
        <v>12000</v>
      </c>
      <c r="F7" s="566">
        <f>[2]Immo!M32</f>
        <v>0</v>
      </c>
      <c r="G7" s="569">
        <f>[2]Immo!O32</f>
        <v>6000</v>
      </c>
      <c r="H7" s="570">
        <f>(E7-G7)+F7</f>
        <v>6000</v>
      </c>
    </row>
    <row r="8" spans="1:8" outlineLevel="1">
      <c r="B8" s="239" t="s">
        <v>56</v>
      </c>
      <c r="C8" s="221"/>
      <c r="D8" s="221"/>
      <c r="E8" s="221"/>
      <c r="F8" s="221"/>
      <c r="G8" s="162"/>
      <c r="H8" s="173"/>
    </row>
    <row r="9" spans="1:8" outlineLevel="1">
      <c r="B9" s="239" t="s">
        <v>57</v>
      </c>
      <c r="C9" s="221"/>
      <c r="D9" s="221"/>
      <c r="E9" s="221"/>
      <c r="F9" s="221"/>
      <c r="G9" s="162"/>
      <c r="H9" s="173"/>
    </row>
    <row r="10" spans="1:8" outlineLevel="1">
      <c r="B10" s="239" t="s">
        <v>58</v>
      </c>
      <c r="C10" s="221"/>
      <c r="D10" s="221"/>
      <c r="E10" s="221"/>
      <c r="F10" s="221"/>
      <c r="G10" s="162"/>
      <c r="H10" s="173"/>
    </row>
    <row r="11" spans="1:8" outlineLevel="1">
      <c r="B11" s="239" t="s">
        <v>59</v>
      </c>
      <c r="C11" s="221"/>
      <c r="D11" s="221"/>
      <c r="E11" s="221"/>
      <c r="F11" s="221"/>
      <c r="G11" s="162"/>
      <c r="H11" s="173"/>
    </row>
    <row r="12" spans="1:8">
      <c r="B12" s="236" t="s">
        <v>60</v>
      </c>
      <c r="C12" s="220">
        <f>SUM(C13:C18)</f>
        <v>57100</v>
      </c>
      <c r="D12" s="220">
        <f t="shared" ref="D12:H12" si="1">SUM(D13:D18)</f>
        <v>13420.833333333334</v>
      </c>
      <c r="E12" s="220">
        <f t="shared" si="1"/>
        <v>43679.166666666664</v>
      </c>
      <c r="F12" s="220">
        <f t="shared" si="1"/>
        <v>25950</v>
      </c>
      <c r="G12" s="220">
        <f t="shared" si="1"/>
        <v>21165.277777777777</v>
      </c>
      <c r="H12" s="220">
        <f>(E12+F12)-G12</f>
        <v>48463.888888888876</v>
      </c>
    </row>
    <row r="13" spans="1:8" outlineLevel="1">
      <c r="B13" s="239" t="s">
        <v>61</v>
      </c>
      <c r="C13" s="221"/>
      <c r="D13" s="221"/>
      <c r="E13" s="221"/>
      <c r="F13" s="221"/>
      <c r="G13" s="162"/>
      <c r="H13" s="173"/>
    </row>
    <row r="14" spans="1:8" outlineLevel="1">
      <c r="B14" s="239" t="s">
        <v>62</v>
      </c>
      <c r="C14" s="221"/>
      <c r="D14" s="221"/>
      <c r="E14" s="221"/>
      <c r="F14" s="221"/>
      <c r="G14" s="162"/>
      <c r="H14" s="173"/>
    </row>
    <row r="15" spans="1:8" outlineLevel="1">
      <c r="B15" s="158" t="s">
        <v>508</v>
      </c>
      <c r="C15" s="221">
        <f>Immo!C27</f>
        <v>57100</v>
      </c>
      <c r="D15" s="221">
        <f>Immo!C28</f>
        <v>13420.833333333334</v>
      </c>
      <c r="E15" s="221">
        <f>C15-D15</f>
        <v>43679.166666666664</v>
      </c>
      <c r="F15" s="224">
        <f>Immo!M27</f>
        <v>25950</v>
      </c>
      <c r="G15" s="224">
        <f>Immo!M28</f>
        <v>21165.277777777777</v>
      </c>
      <c r="H15" s="229">
        <f>(E12+F12)-G12</f>
        <v>48463.888888888876</v>
      </c>
    </row>
    <row r="16" spans="1:8" outlineLevel="1">
      <c r="B16" s="239" t="s">
        <v>58</v>
      </c>
      <c r="C16" s="221"/>
      <c r="D16" s="221"/>
      <c r="E16" s="221"/>
      <c r="F16" s="221"/>
      <c r="G16" s="162"/>
      <c r="H16" s="173"/>
    </row>
    <row r="17" spans="2:10" outlineLevel="1">
      <c r="B17" s="239" t="s">
        <v>63</v>
      </c>
      <c r="C17" s="221"/>
      <c r="D17" s="221"/>
      <c r="E17" s="221"/>
      <c r="F17" s="221"/>
      <c r="G17" s="162"/>
      <c r="H17" s="173"/>
    </row>
    <row r="18" spans="2:10" outlineLevel="1">
      <c r="B18" s="239" t="s">
        <v>59</v>
      </c>
      <c r="C18" s="221"/>
      <c r="D18" s="221"/>
      <c r="E18" s="221"/>
      <c r="F18" s="221"/>
      <c r="G18" s="162"/>
      <c r="H18" s="173"/>
    </row>
    <row r="19" spans="2:10">
      <c r="B19" s="240" t="s">
        <v>64</v>
      </c>
      <c r="C19" s="220">
        <f>SUM(C20:C24)</f>
        <v>0</v>
      </c>
      <c r="D19" s="220">
        <f t="shared" ref="D19:H19" si="2">SUM(D20:D24)</f>
        <v>0</v>
      </c>
      <c r="E19" s="220">
        <f t="shared" si="2"/>
        <v>0</v>
      </c>
      <c r="F19" s="220">
        <f t="shared" si="2"/>
        <v>0</v>
      </c>
      <c r="G19" s="220">
        <f t="shared" si="2"/>
        <v>0</v>
      </c>
      <c r="H19" s="220">
        <f t="shared" si="2"/>
        <v>0</v>
      </c>
    </row>
    <row r="20" spans="2:10" outlineLevel="1">
      <c r="B20" s="239" t="s">
        <v>65</v>
      </c>
      <c r="C20" s="221"/>
      <c r="D20" s="221"/>
      <c r="E20" s="221"/>
      <c r="F20" s="221"/>
      <c r="G20" s="162"/>
      <c r="H20" s="173"/>
    </row>
    <row r="21" spans="2:10" outlineLevel="1">
      <c r="B21" s="239" t="s">
        <v>66</v>
      </c>
      <c r="C21" s="221"/>
      <c r="D21" s="221"/>
      <c r="E21" s="221"/>
      <c r="F21" s="221"/>
      <c r="G21" s="162"/>
      <c r="H21" s="173"/>
    </row>
    <row r="22" spans="2:10" outlineLevel="1">
      <c r="B22" s="239" t="s">
        <v>67</v>
      </c>
      <c r="C22" s="221"/>
      <c r="D22" s="221"/>
      <c r="E22" s="221"/>
      <c r="F22" s="221"/>
      <c r="G22" s="162"/>
      <c r="H22" s="173"/>
    </row>
    <row r="23" spans="2:10" outlineLevel="1">
      <c r="B23" s="239" t="s">
        <v>68</v>
      </c>
      <c r="C23" s="221"/>
      <c r="D23" s="221"/>
      <c r="E23" s="221"/>
      <c r="F23" s="221"/>
      <c r="G23" s="162"/>
      <c r="H23" s="173"/>
    </row>
    <row r="24" spans="2:10" outlineLevel="1">
      <c r="B24" s="239" t="s">
        <v>58</v>
      </c>
      <c r="C24" s="221"/>
      <c r="D24" s="221"/>
      <c r="E24" s="221"/>
      <c r="F24" s="221"/>
      <c r="G24" s="162"/>
      <c r="H24" s="173"/>
    </row>
    <row r="25" spans="2:10">
      <c r="B25" s="236" t="s">
        <v>87</v>
      </c>
      <c r="C25" s="220">
        <f>C19+C12+C5</f>
        <v>81100</v>
      </c>
      <c r="D25" s="220">
        <f t="shared" ref="D25:H25" si="3">D19+D12+D5</f>
        <v>21420.833333333336</v>
      </c>
      <c r="E25" s="220">
        <f t="shared" si="3"/>
        <v>59679.166666666664</v>
      </c>
      <c r="F25" s="220">
        <f t="shared" si="3"/>
        <v>25950</v>
      </c>
      <c r="G25" s="220">
        <f t="shared" si="3"/>
        <v>29165.277777777777</v>
      </c>
      <c r="H25" s="220">
        <f t="shared" si="3"/>
        <v>56463.888888888876</v>
      </c>
    </row>
    <row r="26" spans="2:10">
      <c r="B26" s="236"/>
      <c r="C26" s="221"/>
      <c r="D26" s="221"/>
      <c r="E26" s="221"/>
      <c r="F26" s="221"/>
      <c r="G26" s="162"/>
      <c r="H26" s="173"/>
    </row>
    <row r="27" spans="2:10">
      <c r="B27" s="236" t="s">
        <v>84</v>
      </c>
      <c r="C27" s="221"/>
      <c r="D27" s="221"/>
      <c r="E27" s="221"/>
      <c r="F27" s="221"/>
      <c r="G27" s="162"/>
      <c r="H27" s="173"/>
    </row>
    <row r="28" spans="2:10">
      <c r="B28" s="236" t="s">
        <v>69</v>
      </c>
      <c r="C28" s="221"/>
      <c r="D28" s="221"/>
      <c r="E28" s="220">
        <f>SUM(E29:E32)</f>
        <v>18251.53269493844</v>
      </c>
      <c r="F28" s="220"/>
      <c r="G28" s="162"/>
      <c r="H28" s="230">
        <f>SUM(H29:H32)</f>
        <v>54486.350104097452</v>
      </c>
    </row>
    <row r="29" spans="2:10" outlineLevel="1">
      <c r="B29" s="239" t="s">
        <v>70</v>
      </c>
      <c r="C29" s="221"/>
      <c r="D29" s="221"/>
      <c r="E29" s="221"/>
      <c r="F29" s="221"/>
      <c r="G29" s="162"/>
      <c r="H29" s="241"/>
      <c r="J29" s="23"/>
    </row>
    <row r="30" spans="2:10" outlineLevel="1">
      <c r="B30" s="158" t="s">
        <v>227</v>
      </c>
      <c r="C30" s="221"/>
      <c r="D30" s="221"/>
      <c r="E30" s="220">
        <f>TEC!E19</f>
        <v>18251.53269493844</v>
      </c>
      <c r="F30" s="220"/>
      <c r="G30" s="162"/>
      <c r="H30" s="230">
        <f>TEC!I17</f>
        <v>54486.350104097452</v>
      </c>
    </row>
    <row r="31" spans="2:10" outlineLevel="1">
      <c r="B31" s="239" t="s">
        <v>71</v>
      </c>
      <c r="C31" s="221"/>
      <c r="D31" s="221"/>
      <c r="E31" s="221"/>
      <c r="F31" s="221"/>
      <c r="G31" s="162"/>
      <c r="H31" s="173"/>
    </row>
    <row r="32" spans="2:10" outlineLevel="1">
      <c r="B32" s="239" t="s">
        <v>72</v>
      </c>
      <c r="C32" s="221"/>
      <c r="D32" s="221"/>
      <c r="E32" s="221"/>
      <c r="F32" s="221"/>
      <c r="G32" s="162"/>
      <c r="H32" s="173"/>
    </row>
    <row r="33" spans="2:11">
      <c r="B33" s="236" t="s">
        <v>533</v>
      </c>
      <c r="C33" s="221"/>
      <c r="D33" s="221"/>
      <c r="E33" s="220">
        <v>0</v>
      </c>
      <c r="F33" s="220"/>
      <c r="G33" s="162"/>
      <c r="H33" s="242">
        <v>0</v>
      </c>
    </row>
    <row r="34" spans="2:11">
      <c r="B34" s="236" t="s">
        <v>73</v>
      </c>
      <c r="C34" s="221"/>
      <c r="D34" s="221"/>
      <c r="E34" s="220">
        <f>SUM(E35:E36)</f>
        <v>124848.88</v>
      </c>
      <c r="F34" s="220"/>
      <c r="G34" s="162"/>
      <c r="H34" s="230"/>
    </row>
    <row r="35" spans="2:11" outlineLevel="1">
      <c r="B35" s="158" t="s">
        <v>74</v>
      </c>
      <c r="C35" s="221"/>
      <c r="D35" s="221"/>
      <c r="E35" s="221">
        <f>'Trésorerie '!N7</f>
        <v>119600</v>
      </c>
      <c r="F35" s="221"/>
      <c r="G35" s="162"/>
      <c r="H35" s="229">
        <f>'Trésorerie '!Z7</f>
        <v>224848</v>
      </c>
    </row>
    <row r="36" spans="2:11" outlineLevel="1">
      <c r="B36" s="238" t="s">
        <v>512</v>
      </c>
      <c r="C36" s="221"/>
      <c r="D36" s="221"/>
      <c r="E36" s="221">
        <f>TVA!N20</f>
        <v>5248.88</v>
      </c>
      <c r="F36" s="221"/>
      <c r="G36" s="162"/>
      <c r="H36" s="229">
        <f>TVA!Z20</f>
        <v>5958.4000000000005</v>
      </c>
    </row>
    <row r="37" spans="2:11" outlineLevel="1">
      <c r="B37" s="239" t="s">
        <v>75</v>
      </c>
      <c r="C37" s="221"/>
      <c r="D37" s="221"/>
      <c r="E37" s="221"/>
      <c r="F37" s="221"/>
      <c r="G37" s="162"/>
      <c r="H37" s="173"/>
    </row>
    <row r="38" spans="2:11">
      <c r="B38" s="240" t="s">
        <v>76</v>
      </c>
      <c r="C38" s="221"/>
      <c r="D38" s="221"/>
      <c r="E38" s="220"/>
      <c r="F38" s="220"/>
      <c r="G38" s="162"/>
      <c r="H38" s="242"/>
    </row>
    <row r="39" spans="2:11" outlineLevel="1">
      <c r="B39" s="239" t="s">
        <v>77</v>
      </c>
      <c r="C39" s="221"/>
      <c r="D39" s="221"/>
      <c r="E39" s="221"/>
      <c r="F39" s="221"/>
      <c r="G39" s="162"/>
      <c r="H39" s="173"/>
    </row>
    <row r="40" spans="2:11" outlineLevel="1">
      <c r="B40" s="239" t="s">
        <v>78</v>
      </c>
      <c r="C40" s="221"/>
      <c r="D40" s="221"/>
      <c r="E40" s="221"/>
      <c r="F40" s="221"/>
      <c r="G40" s="162"/>
      <c r="H40" s="173"/>
    </row>
    <row r="41" spans="2:11">
      <c r="B41" s="236" t="s">
        <v>309</v>
      </c>
      <c r="C41" s="221"/>
      <c r="D41" s="221"/>
      <c r="E41" s="220">
        <f>'Trésorerie '!O3</f>
        <v>96514.44899743647</v>
      </c>
      <c r="F41" s="220"/>
      <c r="G41" s="162"/>
      <c r="H41" s="230">
        <f>'Trésorerie '!AA3</f>
        <v>324550.9934424464</v>
      </c>
    </row>
    <row r="42" spans="2:11">
      <c r="B42" s="236" t="s">
        <v>88</v>
      </c>
      <c r="C42" s="221"/>
      <c r="D42" s="221"/>
      <c r="E42" s="220">
        <f>E28+E33+E34+E41</f>
        <v>239614.86169237492</v>
      </c>
      <c r="F42" s="220"/>
      <c r="G42" s="220"/>
      <c r="H42" s="220">
        <f t="shared" ref="F42:H42" si="4">H28+H33+H34+H41</f>
        <v>379037.34354654385</v>
      </c>
      <c r="I42" s="22"/>
    </row>
    <row r="43" spans="2:11">
      <c r="B43" s="236"/>
      <c r="C43" s="221"/>
      <c r="D43" s="221"/>
      <c r="E43" s="221"/>
      <c r="F43" s="221"/>
      <c r="G43" s="162"/>
      <c r="H43" s="173"/>
    </row>
    <row r="44" spans="2:11">
      <c r="B44" s="240" t="s">
        <v>85</v>
      </c>
      <c r="C44" s="221"/>
      <c r="D44" s="221"/>
      <c r="E44" s="220"/>
      <c r="F44" s="220"/>
      <c r="G44" s="162"/>
      <c r="H44" s="173"/>
    </row>
    <row r="45" spans="2:11" outlineLevel="1">
      <c r="B45" s="243" t="s">
        <v>79</v>
      </c>
      <c r="C45" s="221"/>
      <c r="D45" s="221"/>
      <c r="E45" s="221"/>
      <c r="F45" s="221"/>
      <c r="G45" s="162"/>
      <c r="H45" s="173"/>
    </row>
    <row r="46" spans="2:11" outlineLevel="1">
      <c r="B46" s="243" t="s">
        <v>80</v>
      </c>
      <c r="C46" s="221"/>
      <c r="D46" s="221"/>
      <c r="E46" s="221"/>
      <c r="F46" s="221"/>
      <c r="G46" s="162"/>
      <c r="H46" s="173"/>
      <c r="K46" s="22"/>
    </row>
    <row r="47" spans="2:11" outlineLevel="1">
      <c r="B47" s="243" t="s">
        <v>81</v>
      </c>
      <c r="C47" s="221"/>
      <c r="D47" s="221"/>
      <c r="E47" s="221"/>
      <c r="F47" s="221"/>
      <c r="G47" s="162"/>
      <c r="H47" s="173"/>
    </row>
    <row r="48" spans="2:11" outlineLevel="1">
      <c r="B48" s="243" t="s">
        <v>82</v>
      </c>
      <c r="C48" s="221"/>
      <c r="D48" s="221"/>
      <c r="E48" s="221"/>
      <c r="F48" s="221"/>
      <c r="G48" s="162"/>
      <c r="H48" s="173"/>
    </row>
    <row r="49" spans="2:10">
      <c r="B49" s="240" t="s">
        <v>89</v>
      </c>
      <c r="C49" s="221"/>
      <c r="D49" s="221"/>
      <c r="E49" s="220">
        <v>0</v>
      </c>
      <c r="F49" s="220"/>
      <c r="G49" s="220"/>
      <c r="H49" s="220">
        <v>0</v>
      </c>
    </row>
    <row r="50" spans="2:10">
      <c r="B50" s="158"/>
      <c r="C50" s="221"/>
      <c r="D50" s="221"/>
      <c r="E50" s="221"/>
      <c r="F50" s="221"/>
      <c r="G50" s="162"/>
      <c r="H50" s="173"/>
      <c r="I50" s="22"/>
    </row>
    <row r="51" spans="2:10" ht="13.5" thickBot="1">
      <c r="B51" s="244" t="s">
        <v>115</v>
      </c>
      <c r="C51" s="245"/>
      <c r="D51" s="245"/>
      <c r="E51" s="232">
        <f>E49+E42+E25+E3</f>
        <v>299294.02835904161</v>
      </c>
      <c r="F51" s="232"/>
      <c r="G51" s="232"/>
      <c r="H51" s="232">
        <f>H49+H42+H25+H3</f>
        <v>435501.23243543273</v>
      </c>
      <c r="J51" s="23"/>
    </row>
    <row r="53" spans="2:10">
      <c r="I53" s="22"/>
    </row>
    <row r="54" spans="2:10">
      <c r="G54" s="22"/>
      <c r="J54" s="22"/>
    </row>
    <row r="56" spans="2:10">
      <c r="H56" s="22"/>
    </row>
  </sheetData>
  <mergeCells count="2">
    <mergeCell ref="C1:E1"/>
    <mergeCell ref="F1:H1"/>
  </mergeCells>
  <phoneticPr fontId="0" type="noConversion"/>
  <printOptions headings="1" gridLines="1"/>
  <pageMargins left="0.78740157480314965" right="0.78740157480314965" top="0.2" bottom="0.17" header="0.51181102362204722" footer="0.51181102362204722"/>
  <headerFooter alignWithMargins="0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E36"/>
  <sheetViews>
    <sheetView topLeftCell="A4" workbookViewId="0">
      <selection activeCell="D31" sqref="D31"/>
    </sheetView>
  </sheetViews>
  <sheetFormatPr baseColWidth="10" defaultRowHeight="12.75"/>
  <cols>
    <col min="1" max="1" width="60.42578125" bestFit="1" customWidth="1"/>
    <col min="2" max="2" width="9.28515625" bestFit="1" customWidth="1"/>
    <col min="3" max="3" width="8.7109375" customWidth="1"/>
    <col min="4" max="4" width="78.42578125" bestFit="1" customWidth="1"/>
    <col min="5" max="5" width="13.85546875" bestFit="1" customWidth="1"/>
  </cols>
  <sheetData>
    <row r="1" spans="1:5">
      <c r="A1" s="487" t="s">
        <v>467</v>
      </c>
      <c r="B1" s="488"/>
      <c r="C1" s="68"/>
      <c r="D1" s="487" t="s">
        <v>299</v>
      </c>
      <c r="E1" s="488"/>
    </row>
    <row r="2" spans="1:5">
      <c r="A2" s="170" t="s">
        <v>298</v>
      </c>
      <c r="B2" s="280"/>
      <c r="C2" s="73"/>
      <c r="D2" s="176" t="s">
        <v>236</v>
      </c>
      <c r="E2" s="265">
        <f>'Produits '!C7</f>
        <v>720000</v>
      </c>
    </row>
    <row r="3" spans="1:5">
      <c r="A3" s="275" t="s">
        <v>286</v>
      </c>
      <c r="B3" s="177">
        <f>'Tableau simu'!B55</f>
        <v>50000</v>
      </c>
      <c r="C3" s="72"/>
      <c r="D3" s="282" t="s">
        <v>383</v>
      </c>
      <c r="E3" s="283">
        <f>(E4-E2)/E2</f>
        <v>1</v>
      </c>
    </row>
    <row r="4" spans="1:5">
      <c r="A4" s="275" t="s">
        <v>381</v>
      </c>
      <c r="B4" s="177">
        <f>'Charges '!C71</f>
        <v>84604.837876676203</v>
      </c>
      <c r="C4" s="72"/>
      <c r="D4" s="189" t="s">
        <v>382</v>
      </c>
      <c r="E4" s="263">
        <f>E2*2</f>
        <v>1440000</v>
      </c>
    </row>
    <row r="5" spans="1:5">
      <c r="A5" s="275" t="s">
        <v>365</v>
      </c>
      <c r="B5" s="276">
        <f>'Passif '!D27</f>
        <v>44826.796589615726</v>
      </c>
      <c r="C5" s="74"/>
      <c r="D5" s="158"/>
      <c r="E5" s="247"/>
    </row>
    <row r="6" spans="1:5">
      <c r="A6" s="275" t="s">
        <v>295</v>
      </c>
      <c r="B6" s="177">
        <f>'Actif '!E25</f>
        <v>59679.166666666664</v>
      </c>
      <c r="C6" s="72"/>
      <c r="D6" s="284" t="s">
        <v>391</v>
      </c>
      <c r="E6" s="265">
        <f>B4</f>
        <v>84604.837876676203</v>
      </c>
    </row>
    <row r="7" spans="1:5">
      <c r="A7" s="277" t="s">
        <v>297</v>
      </c>
      <c r="B7" s="174">
        <f>B4+B5-B6+B3</f>
        <v>119752.46779962527</v>
      </c>
      <c r="C7" s="65"/>
      <c r="D7" s="189" t="s">
        <v>385</v>
      </c>
      <c r="E7" s="285">
        <f>E6/E2</f>
        <v>0.11750671927316139</v>
      </c>
    </row>
    <row r="8" spans="1:5">
      <c r="A8" s="170" t="s">
        <v>237</v>
      </c>
      <c r="B8" s="177"/>
      <c r="C8" s="72"/>
      <c r="D8" s="189" t="s">
        <v>384</v>
      </c>
      <c r="E8" s="263">
        <f>B16</f>
        <v>23238.01880218881</v>
      </c>
    </row>
    <row r="9" spans="1:5">
      <c r="A9" s="275" t="s">
        <v>287</v>
      </c>
      <c r="B9" s="177">
        <f>TEC!E19</f>
        <v>18251.53269493844</v>
      </c>
      <c r="C9" s="72"/>
      <c r="D9" s="189" t="s">
        <v>392</v>
      </c>
      <c r="E9" s="285">
        <f>E8/E2</f>
        <v>3.2275026114151124E-2</v>
      </c>
    </row>
    <row r="10" spans="1:5">
      <c r="A10" s="275" t="s">
        <v>289</v>
      </c>
      <c r="B10" s="177">
        <f>'Actif '!E35</f>
        <v>119600</v>
      </c>
      <c r="C10" s="72"/>
      <c r="D10" s="189" t="s">
        <v>387</v>
      </c>
      <c r="E10" s="263">
        <f>(E3*E8)+E8</f>
        <v>46476.03760437762</v>
      </c>
    </row>
    <row r="11" spans="1:5">
      <c r="A11" s="275" t="s">
        <v>288</v>
      </c>
      <c r="B11" s="177">
        <f>TVA!N20</f>
        <v>5248.88</v>
      </c>
      <c r="C11" s="72"/>
      <c r="D11" s="189" t="s">
        <v>388</v>
      </c>
      <c r="E11" s="263">
        <f>E10-E8</f>
        <v>23238.01880218881</v>
      </c>
    </row>
    <row r="12" spans="1:5">
      <c r="A12" s="275" t="s">
        <v>290</v>
      </c>
      <c r="B12" s="177">
        <f>'Passif '!D30</f>
        <v>26216.32</v>
      </c>
      <c r="C12" s="72"/>
      <c r="D12" s="170" t="s">
        <v>394</v>
      </c>
      <c r="E12" s="286" t="b">
        <f>E6&gt;E11</f>
        <v>1</v>
      </c>
    </row>
    <row r="13" spans="1:5" ht="13.5" thickBot="1">
      <c r="A13" s="275" t="s">
        <v>291</v>
      </c>
      <c r="B13" s="177">
        <f>'Passif '!D31</f>
        <v>42296.073892749635</v>
      </c>
      <c r="C13" s="72"/>
      <c r="D13" s="289" t="s">
        <v>386</v>
      </c>
      <c r="E13" s="290">
        <f>E6-E11</f>
        <v>61366.819074487394</v>
      </c>
    </row>
    <row r="14" spans="1:5">
      <c r="A14" s="275" t="s">
        <v>292</v>
      </c>
      <c r="B14" s="177">
        <f>'Passif '!D32</f>
        <v>12150</v>
      </c>
      <c r="C14" s="72"/>
      <c r="D14" s="291" t="s">
        <v>390</v>
      </c>
      <c r="E14" s="292">
        <f>E6*'Tableau simu'!B32</f>
        <v>0</v>
      </c>
    </row>
    <row r="15" spans="1:5">
      <c r="A15" s="275" t="s">
        <v>293</v>
      </c>
      <c r="B15" s="177">
        <f>TVA!N10</f>
        <v>39200</v>
      </c>
      <c r="C15" s="72"/>
      <c r="D15" s="189" t="s">
        <v>393</v>
      </c>
      <c r="E15" s="263">
        <f>E6-E13</f>
        <v>23238.01880218881</v>
      </c>
    </row>
    <row r="16" spans="1:5" ht="13.5" thickBot="1">
      <c r="A16" s="277" t="s">
        <v>296</v>
      </c>
      <c r="B16" s="281">
        <f>(B10+B11-SUM(B12:B15))+B9</f>
        <v>23238.01880218881</v>
      </c>
      <c r="C16" s="72"/>
      <c r="D16" s="287" t="s">
        <v>389</v>
      </c>
      <c r="E16" s="288">
        <f>E14-E13</f>
        <v>-61366.819074487394</v>
      </c>
    </row>
    <row r="17" spans="1:5" ht="13.5" thickBot="1">
      <c r="A17" s="278" t="s">
        <v>294</v>
      </c>
      <c r="B17" s="279">
        <f>B7-B16</f>
        <v>96514.44899743647</v>
      </c>
      <c r="C17" s="72"/>
    </row>
    <row r="18" spans="1:5" ht="13.5" thickBot="1">
      <c r="C18" s="65"/>
      <c r="D18" s="33"/>
      <c r="E18" s="33"/>
    </row>
    <row r="19" spans="1:5" ht="13.5" thickBot="1">
      <c r="A19" s="489" t="s">
        <v>468</v>
      </c>
      <c r="B19" s="490"/>
      <c r="C19" s="65"/>
      <c r="D19" s="33"/>
      <c r="E19" s="33"/>
    </row>
    <row r="20" spans="1:5">
      <c r="A20" s="273" t="s">
        <v>504</v>
      </c>
      <c r="B20" s="274"/>
      <c r="C20" s="75"/>
      <c r="D20" s="33"/>
      <c r="E20" s="33"/>
    </row>
    <row r="21" spans="1:5">
      <c r="A21" s="275" t="s">
        <v>286</v>
      </c>
      <c r="B21" s="177">
        <f>'Tableau simu'!B55</f>
        <v>50000</v>
      </c>
      <c r="C21" s="33"/>
      <c r="D21" s="486"/>
      <c r="E21" s="486"/>
    </row>
    <row r="22" spans="1:5">
      <c r="A22" s="275" t="s">
        <v>93</v>
      </c>
      <c r="B22" s="177"/>
      <c r="C22" s="33"/>
      <c r="D22" s="68"/>
      <c r="E22" s="68"/>
    </row>
    <row r="23" spans="1:5">
      <c r="A23" s="275" t="s">
        <v>381</v>
      </c>
      <c r="B23" s="177">
        <f>'Charges '!D71</f>
        <v>146715.95542596065</v>
      </c>
      <c r="C23" s="33"/>
      <c r="D23" s="33"/>
      <c r="E23" s="33"/>
    </row>
    <row r="24" spans="1:5">
      <c r="A24" s="275" t="s">
        <v>365</v>
      </c>
      <c r="B24" s="276">
        <f>'Passif '!F27</f>
        <v>23195.270673565483</v>
      </c>
      <c r="C24" s="33"/>
      <c r="D24" s="33"/>
      <c r="E24" s="33"/>
    </row>
    <row r="25" spans="1:5">
      <c r="A25" s="275" t="s">
        <v>295</v>
      </c>
      <c r="B25" s="177">
        <f>'Actif '!H25</f>
        <v>56463.888888888876</v>
      </c>
      <c r="C25" s="33"/>
      <c r="D25" s="33"/>
      <c r="E25" s="33"/>
    </row>
    <row r="26" spans="1:5">
      <c r="A26" s="277" t="s">
        <v>505</v>
      </c>
      <c r="B26" s="174">
        <f>B23+B24-B25+B21</f>
        <v>163447.33721063726</v>
      </c>
      <c r="C26" s="33"/>
      <c r="D26" s="48"/>
      <c r="E26" s="66"/>
    </row>
    <row r="27" spans="1:5">
      <c r="A27" s="170" t="s">
        <v>506</v>
      </c>
      <c r="B27" s="177"/>
      <c r="C27" s="33"/>
    </row>
    <row r="28" spans="1:5">
      <c r="A28" s="275" t="s">
        <v>287</v>
      </c>
      <c r="B28" s="177">
        <f>TEC!I19</f>
        <v>36234.817409159012</v>
      </c>
      <c r="C28" s="33"/>
    </row>
    <row r="29" spans="1:5">
      <c r="A29" s="275" t="s">
        <v>289</v>
      </c>
      <c r="B29" s="177">
        <f>'Actif '!H35</f>
        <v>224848</v>
      </c>
      <c r="D29" s="19"/>
      <c r="E29" s="67"/>
    </row>
    <row r="30" spans="1:5">
      <c r="A30" s="275" t="s">
        <v>288</v>
      </c>
      <c r="B30" s="177">
        <f>TVA!Z20</f>
        <v>5958.4000000000005</v>
      </c>
    </row>
    <row r="31" spans="1:5">
      <c r="A31" s="275" t="s">
        <v>290</v>
      </c>
      <c r="B31" s="177">
        <f>'Passif '!F30</f>
        <v>26216.32</v>
      </c>
    </row>
    <row r="32" spans="1:5">
      <c r="A32" s="275" t="s">
        <v>291</v>
      </c>
      <c r="B32" s="177">
        <f>'Passif '!F31</f>
        <v>73346.974566480683</v>
      </c>
    </row>
    <row r="33" spans="1:2">
      <c r="A33" s="275" t="s">
        <v>292</v>
      </c>
      <c r="B33" s="177">
        <f>'Passif '!F32</f>
        <v>21200</v>
      </c>
    </row>
    <row r="34" spans="1:2">
      <c r="A34" s="275" t="s">
        <v>293</v>
      </c>
      <c r="B34" s="177">
        <f>TVA!Z10</f>
        <v>15680</v>
      </c>
    </row>
    <row r="35" spans="1:2">
      <c r="A35" s="277" t="s">
        <v>507</v>
      </c>
      <c r="B35" s="174">
        <f>SUM(B28:B30)-SUM(B31:B34)</f>
        <v>130597.92284267832</v>
      </c>
    </row>
    <row r="36" spans="1:2" ht="13.5" thickBot="1">
      <c r="A36" s="278" t="s">
        <v>294</v>
      </c>
      <c r="B36" s="279">
        <f>B26-B35</f>
        <v>32849.414367958932</v>
      </c>
    </row>
  </sheetData>
  <mergeCells count="4">
    <mergeCell ref="D21:E21"/>
    <mergeCell ref="A1:B1"/>
    <mergeCell ref="D1:E1"/>
    <mergeCell ref="A19:B19"/>
  </mergeCells>
  <phoneticPr fontId="0" type="noConversion"/>
  <printOptions headings="1" gridLines="1"/>
  <pageMargins left="0.78740157499999996" right="0.78740157499999996" top="0.984251969" bottom="0.984251969" header="0.4921259845" footer="0.492125984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>
  <dimension ref="A1:E8"/>
  <sheetViews>
    <sheetView workbookViewId="0">
      <selection activeCell="D9" sqref="D9"/>
    </sheetView>
  </sheetViews>
  <sheetFormatPr baseColWidth="10" defaultRowHeight="12.75"/>
  <cols>
    <col min="1" max="1" width="25.85546875" bestFit="1" customWidth="1"/>
    <col min="2" max="2" width="8.7109375" bestFit="1" customWidth="1"/>
    <col min="3" max="3" width="32.7109375" bestFit="1" customWidth="1"/>
    <col min="4" max="4" width="8.7109375" bestFit="1" customWidth="1"/>
  </cols>
  <sheetData>
    <row r="1" spans="1:5">
      <c r="A1" s="464" t="s">
        <v>300</v>
      </c>
      <c r="B1" s="464"/>
      <c r="C1" s="464" t="s">
        <v>303</v>
      </c>
      <c r="D1" s="464"/>
      <c r="E1" s="53"/>
    </row>
    <row r="2" spans="1:5">
      <c r="A2" s="27"/>
      <c r="B2" s="27" t="s">
        <v>152</v>
      </c>
      <c r="C2" s="21"/>
      <c r="D2" s="27" t="s">
        <v>152</v>
      </c>
      <c r="E2" s="6"/>
    </row>
    <row r="3" spans="1:5">
      <c r="A3" s="17" t="s">
        <v>54</v>
      </c>
      <c r="B3" s="54">
        <f>Immo!C34</f>
        <v>24000</v>
      </c>
      <c r="C3" s="17" t="s">
        <v>286</v>
      </c>
      <c r="D3" s="54">
        <f>'Tableau simu'!B55</f>
        <v>50000</v>
      </c>
    </row>
    <row r="4" spans="1:5">
      <c r="A4" s="17" t="s">
        <v>301</v>
      </c>
      <c r="B4" s="54">
        <f>Immo!C27</f>
        <v>57100</v>
      </c>
      <c r="C4" s="17" t="s">
        <v>304</v>
      </c>
      <c r="D4" s="18">
        <v>0</v>
      </c>
    </row>
    <row r="5" spans="1:5">
      <c r="A5" s="17" t="s">
        <v>302</v>
      </c>
      <c r="B5" s="54">
        <f>'FR, BFR,CA max'!E8</f>
        <v>23238.01880218881</v>
      </c>
      <c r="C5" s="17" t="s">
        <v>305</v>
      </c>
      <c r="D5" s="18">
        <v>0</v>
      </c>
    </row>
    <row r="6" spans="1:5">
      <c r="A6" s="17"/>
      <c r="B6" s="17"/>
      <c r="C6" s="17" t="s">
        <v>306</v>
      </c>
      <c r="D6" s="18">
        <f>'Tableau simu'!B28</f>
        <v>65000</v>
      </c>
    </row>
    <row r="7" spans="1:5">
      <c r="A7" s="17"/>
      <c r="B7" s="17"/>
      <c r="C7" s="17"/>
      <c r="D7" s="17"/>
    </row>
    <row r="8" spans="1:5">
      <c r="A8" s="19" t="s">
        <v>307</v>
      </c>
      <c r="B8" s="55">
        <f>SUM(B3:B5)</f>
        <v>104338.0188021888</v>
      </c>
      <c r="C8" s="19" t="s">
        <v>308</v>
      </c>
      <c r="D8" s="55">
        <f>SUM(D3:D6)</f>
        <v>115000</v>
      </c>
    </row>
  </sheetData>
  <mergeCells count="2">
    <mergeCell ref="A1:B1"/>
    <mergeCell ref="C1:D1"/>
  </mergeCells>
  <phoneticPr fontId="9" type="noConversion"/>
  <printOptions headings="1" gridLines="1"/>
  <pageMargins left="0.78740157499999996" right="0.78740157499999996" top="0.984251969" bottom="0.984251969" header="0.4921259845" footer="0.492125984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>
  <dimension ref="A1:D24"/>
  <sheetViews>
    <sheetView workbookViewId="0">
      <selection activeCell="C12" sqref="C12"/>
    </sheetView>
  </sheetViews>
  <sheetFormatPr baseColWidth="10" defaultRowHeight="12.75"/>
  <cols>
    <col min="1" max="1" width="3" bestFit="1" customWidth="1"/>
    <col min="2" max="2" width="54.140625" bestFit="1" customWidth="1"/>
    <col min="3" max="3" width="10.28515625" customWidth="1"/>
    <col min="4" max="4" width="10.42578125" customWidth="1"/>
  </cols>
  <sheetData>
    <row r="1" spans="1:4" ht="13.5" thickBot="1">
      <c r="A1" s="6">
        <v>1</v>
      </c>
      <c r="B1" s="6" t="s">
        <v>613</v>
      </c>
      <c r="C1" s="6" t="s">
        <v>614</v>
      </c>
      <c r="D1" s="6" t="s">
        <v>331</v>
      </c>
    </row>
    <row r="2" spans="1:4">
      <c r="A2" s="6">
        <v>2</v>
      </c>
      <c r="B2" s="491" t="s">
        <v>380</v>
      </c>
      <c r="C2" s="465"/>
      <c r="D2" s="466"/>
    </row>
    <row r="3" spans="1:4" ht="51" customHeight="1">
      <c r="A3" s="6">
        <v>3</v>
      </c>
      <c r="B3" s="187"/>
      <c r="C3" s="197" t="s">
        <v>526</v>
      </c>
      <c r="D3" s="188" t="s">
        <v>527</v>
      </c>
    </row>
    <row r="4" spans="1:4">
      <c r="A4" s="6">
        <v>4</v>
      </c>
      <c r="B4" s="170" t="s">
        <v>513</v>
      </c>
      <c r="C4" s="164">
        <f>'Actif '!E51</f>
        <v>299294.02835904161</v>
      </c>
      <c r="D4" s="174"/>
    </row>
    <row r="5" spans="1:4">
      <c r="A5" s="6">
        <v>5</v>
      </c>
      <c r="B5" s="170" t="s">
        <v>542</v>
      </c>
      <c r="C5" s="164">
        <f>'Passif '!D17</f>
        <v>134604.8378766762</v>
      </c>
      <c r="D5" s="174"/>
    </row>
    <row r="6" spans="1:4">
      <c r="A6" s="6">
        <v>6</v>
      </c>
      <c r="B6" s="170" t="s">
        <v>514</v>
      </c>
      <c r="C6" s="164">
        <f>'Passif '!D37</f>
        <v>164689.19048236537</v>
      </c>
      <c r="D6" s="174"/>
    </row>
    <row r="7" spans="1:4">
      <c r="A7" s="6">
        <v>7</v>
      </c>
      <c r="B7" s="170" t="s">
        <v>515</v>
      </c>
      <c r="C7" s="164"/>
      <c r="D7" s="174"/>
    </row>
    <row r="8" spans="1:4">
      <c r="A8" s="6">
        <v>8</v>
      </c>
      <c r="B8" s="189" t="s">
        <v>516</v>
      </c>
      <c r="C8" s="198">
        <f>'Charges '!C58</f>
        <v>7283.7875921792775</v>
      </c>
      <c r="D8" s="190"/>
    </row>
    <row r="9" spans="1:4">
      <c r="A9" s="6">
        <v>9</v>
      </c>
      <c r="B9" s="191" t="s">
        <v>517</v>
      </c>
      <c r="C9" s="198">
        <f>'Charges '!C54</f>
        <v>3910.9321446057802</v>
      </c>
      <c r="D9" s="204"/>
    </row>
    <row r="10" spans="1:4">
      <c r="A10" s="6">
        <v>10</v>
      </c>
      <c r="B10" s="191" t="s">
        <v>279</v>
      </c>
      <c r="C10" s="198">
        <f>'Charges '!C55</f>
        <v>3372.8554475734973</v>
      </c>
      <c r="D10" s="204"/>
    </row>
    <row r="11" spans="1:4">
      <c r="A11" s="6">
        <v>11</v>
      </c>
      <c r="B11" s="189" t="s">
        <v>518</v>
      </c>
      <c r="C11" s="199">
        <f>C8/C6</f>
        <v>4.4227478262814174E-2</v>
      </c>
      <c r="D11" s="192"/>
    </row>
    <row r="12" spans="1:4">
      <c r="A12" s="6">
        <v>12</v>
      </c>
      <c r="B12" s="189" t="s">
        <v>519</v>
      </c>
      <c r="C12" s="198">
        <f>'Charges '!C58+'Charges '!C66</f>
        <v>134184.69936160513</v>
      </c>
      <c r="D12" s="177"/>
    </row>
    <row r="13" spans="1:4">
      <c r="A13" s="6">
        <v>13</v>
      </c>
      <c r="B13" s="189" t="s">
        <v>520</v>
      </c>
      <c r="C13" s="199">
        <f>C12/C4</f>
        <v>0.44833737611574848</v>
      </c>
      <c r="D13" s="192"/>
    </row>
    <row r="14" spans="1:4">
      <c r="A14" s="6">
        <v>14</v>
      </c>
      <c r="B14" s="189" t="s">
        <v>541</v>
      </c>
      <c r="C14" s="198">
        <f>C12-C8</f>
        <v>126900.91176942586</v>
      </c>
      <c r="D14" s="190"/>
    </row>
    <row r="15" spans="1:4">
      <c r="A15" s="6">
        <v>15</v>
      </c>
      <c r="B15" s="189" t="s">
        <v>378</v>
      </c>
      <c r="C15" s="200">
        <f>'Tableau simu'!B53</f>
        <v>0.33329999999999999</v>
      </c>
      <c r="D15" s="193"/>
    </row>
    <row r="16" spans="1:4">
      <c r="A16" s="6">
        <v>16</v>
      </c>
      <c r="B16" s="170" t="s">
        <v>395</v>
      </c>
      <c r="C16" s="164">
        <f>(1-C15)*C14</f>
        <v>84604.837876676233</v>
      </c>
      <c r="D16" s="174"/>
    </row>
    <row r="17" spans="1:4">
      <c r="A17" s="6">
        <v>17</v>
      </c>
      <c r="B17" s="170" t="s">
        <v>396</v>
      </c>
      <c r="C17" s="201">
        <f>C16/C5</f>
        <v>0.62854232590206349</v>
      </c>
      <c r="D17" s="194"/>
    </row>
    <row r="18" spans="1:4">
      <c r="A18" s="6">
        <v>18</v>
      </c>
      <c r="B18" s="158"/>
      <c r="C18" s="198"/>
      <c r="D18" s="203"/>
    </row>
    <row r="19" spans="1:4">
      <c r="A19" s="6">
        <v>19</v>
      </c>
      <c r="B19" s="189" t="s">
        <v>521</v>
      </c>
      <c r="C19" s="200">
        <v>1</v>
      </c>
      <c r="D19" s="193"/>
    </row>
    <row r="20" spans="1:4">
      <c r="A20" s="6">
        <v>20</v>
      </c>
      <c r="B20" s="170" t="s">
        <v>522</v>
      </c>
      <c r="C20" s="201">
        <f>C19*C17</f>
        <v>0.62854232590206349</v>
      </c>
      <c r="D20" s="194"/>
    </row>
    <row r="21" spans="1:4">
      <c r="A21" s="6">
        <v>21</v>
      </c>
      <c r="B21" s="170" t="s">
        <v>523</v>
      </c>
      <c r="C21" s="201">
        <f>(1-C19)*C17</f>
        <v>0</v>
      </c>
      <c r="D21" s="194"/>
    </row>
    <row r="22" spans="1:4">
      <c r="A22" s="6">
        <v>22</v>
      </c>
      <c r="B22" s="170" t="s">
        <v>524</v>
      </c>
      <c r="C22" s="201">
        <f>C19*(1-C15)*C13</f>
        <v>0.29890652865636952</v>
      </c>
      <c r="D22" s="194"/>
    </row>
    <row r="23" spans="1:4" ht="13.5" thickBot="1">
      <c r="A23" s="6">
        <v>23</v>
      </c>
      <c r="B23" s="195" t="s">
        <v>525</v>
      </c>
      <c r="C23" s="202">
        <f>C19*(1-C15)*(C6/C5*(C13-C11))</f>
        <v>0.32963579724569381</v>
      </c>
      <c r="D23" s="196"/>
    </row>
    <row r="24" spans="1:4">
      <c r="B24" s="19"/>
      <c r="C24" s="79"/>
    </row>
  </sheetData>
  <mergeCells count="1">
    <mergeCell ref="B2:D2"/>
  </mergeCells>
  <phoneticPr fontId="9" type="noConversion"/>
  <printOptions headings="1" gridLines="1"/>
  <pageMargins left="0.78740157499999996" right="0.78740157499999996" top="0.984251969" bottom="0.984251969" header="0.4921259845" footer="0.492125984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>
  <dimension ref="A1:G36"/>
  <sheetViews>
    <sheetView workbookViewId="0">
      <selection activeCell="I6" sqref="I6"/>
    </sheetView>
  </sheetViews>
  <sheetFormatPr baseColWidth="10" defaultRowHeight="12.75"/>
  <cols>
    <col min="1" max="1" width="25.42578125" bestFit="1" customWidth="1"/>
    <col min="4" max="4" width="9.140625" bestFit="1" customWidth="1"/>
    <col min="5" max="5" width="37.7109375" bestFit="1" customWidth="1"/>
  </cols>
  <sheetData>
    <row r="1" spans="1:7" ht="13.5" thickBot="1">
      <c r="A1" s="1"/>
    </row>
    <row r="2" spans="1:7" ht="13.5" thickBot="1">
      <c r="A2" s="495" t="s">
        <v>543</v>
      </c>
      <c r="B2" s="496"/>
      <c r="C2" s="496"/>
      <c r="D2" s="497"/>
      <c r="E2" s="495" t="s">
        <v>544</v>
      </c>
      <c r="F2" s="496"/>
      <c r="G2" s="497"/>
    </row>
    <row r="3" spans="1:7">
      <c r="A3" s="498" t="s">
        <v>545</v>
      </c>
      <c r="B3" s="499"/>
      <c r="C3" s="499"/>
      <c r="D3" s="500"/>
      <c r="E3" s="498" t="s">
        <v>546</v>
      </c>
      <c r="F3" s="499"/>
      <c r="G3" s="500"/>
    </row>
    <row r="4" spans="1:7">
      <c r="A4" s="158"/>
      <c r="B4" s="246" t="s">
        <v>547</v>
      </c>
      <c r="C4" s="246" t="s">
        <v>548</v>
      </c>
      <c r="D4" s="247" t="s">
        <v>549</v>
      </c>
      <c r="E4" s="158"/>
      <c r="F4" s="246" t="s">
        <v>547</v>
      </c>
      <c r="G4" s="247" t="s">
        <v>548</v>
      </c>
    </row>
    <row r="5" spans="1:7">
      <c r="A5" s="158" t="s">
        <v>550</v>
      </c>
      <c r="B5" s="233"/>
      <c r="C5" s="233"/>
      <c r="D5" s="173"/>
      <c r="E5" s="371" t="s">
        <v>286</v>
      </c>
      <c r="F5" s="233"/>
      <c r="G5" s="248"/>
    </row>
    <row r="6" spans="1:7">
      <c r="A6" s="158" t="s">
        <v>551</v>
      </c>
      <c r="B6" s="233"/>
      <c r="C6" s="257"/>
      <c r="D6" s="173"/>
      <c r="E6" s="371" t="s">
        <v>552</v>
      </c>
      <c r="F6" s="233"/>
      <c r="G6" s="248"/>
    </row>
    <row r="7" spans="1:7">
      <c r="A7" s="236" t="s">
        <v>553</v>
      </c>
      <c r="B7" s="234"/>
      <c r="C7" s="234"/>
      <c r="D7" s="173"/>
      <c r="E7" s="371" t="s">
        <v>554</v>
      </c>
      <c r="F7" s="233"/>
      <c r="G7" s="248"/>
    </row>
    <row r="8" spans="1:7">
      <c r="A8" s="501" t="s">
        <v>555</v>
      </c>
      <c r="B8" s="471"/>
      <c r="C8" s="471"/>
      <c r="D8" s="502"/>
      <c r="E8" s="371"/>
      <c r="F8" s="233"/>
      <c r="G8" s="248"/>
    </row>
    <row r="9" spans="1:7">
      <c r="A9" s="158"/>
      <c r="B9" s="246" t="s">
        <v>547</v>
      </c>
      <c r="C9" s="246" t="s">
        <v>548</v>
      </c>
      <c r="D9" s="247" t="s">
        <v>549</v>
      </c>
      <c r="E9" s="372" t="s">
        <v>556</v>
      </c>
      <c r="F9" s="233"/>
      <c r="G9" s="248"/>
    </row>
    <row r="10" spans="1:7">
      <c r="A10" s="158" t="s">
        <v>557</v>
      </c>
      <c r="B10" s="233"/>
      <c r="C10" s="249"/>
      <c r="D10" s="248"/>
      <c r="E10" s="371" t="s">
        <v>558</v>
      </c>
      <c r="F10" s="233"/>
      <c r="G10" s="250"/>
    </row>
    <row r="11" spans="1:7">
      <c r="A11" s="158" t="s">
        <v>136</v>
      </c>
      <c r="B11" s="233"/>
      <c r="C11" s="249"/>
      <c r="D11" s="248"/>
      <c r="E11" s="371" t="s">
        <v>559</v>
      </c>
      <c r="F11" s="233"/>
      <c r="G11" s="248"/>
    </row>
    <row r="12" spans="1:7">
      <c r="A12" s="158" t="s">
        <v>560</v>
      </c>
      <c r="B12" s="233"/>
      <c r="C12" s="249"/>
      <c r="D12" s="248"/>
      <c r="E12" s="371" t="s">
        <v>229</v>
      </c>
      <c r="F12" s="233"/>
      <c r="G12" s="250"/>
    </row>
    <row r="13" spans="1:7">
      <c r="A13" s="158" t="s">
        <v>31</v>
      </c>
      <c r="B13" s="233"/>
      <c r="C13" s="249"/>
      <c r="D13" s="248"/>
      <c r="E13" s="371" t="s">
        <v>561</v>
      </c>
      <c r="F13" s="233"/>
      <c r="G13" s="248"/>
    </row>
    <row r="14" spans="1:7">
      <c r="A14" s="158" t="s">
        <v>186</v>
      </c>
      <c r="B14" s="233"/>
      <c r="C14" s="249"/>
      <c r="D14" s="248"/>
      <c r="E14" s="371" t="s">
        <v>310</v>
      </c>
      <c r="F14" s="233"/>
      <c r="G14" s="248"/>
    </row>
    <row r="15" spans="1:7">
      <c r="A15" s="158" t="s">
        <v>267</v>
      </c>
      <c r="B15" s="233"/>
      <c r="C15" s="251"/>
      <c r="D15" s="248"/>
      <c r="E15" s="373" t="s">
        <v>355</v>
      </c>
      <c r="F15" s="234"/>
      <c r="G15" s="242"/>
    </row>
    <row r="16" spans="1:7">
      <c r="A16" s="158" t="s">
        <v>562</v>
      </c>
      <c r="B16" s="233"/>
      <c r="C16" s="249"/>
      <c r="D16" s="248"/>
      <c r="E16" s="492" t="s">
        <v>563</v>
      </c>
      <c r="F16" s="493"/>
      <c r="G16" s="494"/>
    </row>
    <row r="17" spans="1:7">
      <c r="A17" s="158" t="s">
        <v>564</v>
      </c>
      <c r="B17" s="233"/>
      <c r="C17" s="249"/>
      <c r="D17" s="248"/>
      <c r="E17" s="371" t="s">
        <v>565</v>
      </c>
      <c r="F17" s="252"/>
      <c r="G17" s="250"/>
    </row>
    <row r="18" spans="1:7">
      <c r="A18" s="158" t="s">
        <v>566</v>
      </c>
      <c r="B18" s="233"/>
      <c r="C18" s="251"/>
      <c r="D18" s="173"/>
      <c r="E18" s="371" t="s">
        <v>567</v>
      </c>
      <c r="F18" s="252"/>
      <c r="G18" s="250"/>
    </row>
    <row r="19" spans="1:7">
      <c r="A19" s="236" t="s">
        <v>312</v>
      </c>
      <c r="B19" s="234"/>
      <c r="C19" s="234"/>
      <c r="D19" s="248"/>
      <c r="E19" s="371" t="s">
        <v>568</v>
      </c>
      <c r="F19" s="252"/>
      <c r="G19" s="253"/>
    </row>
    <row r="20" spans="1:7">
      <c r="A20" s="158"/>
      <c r="B20" s="162"/>
      <c r="C20" s="162"/>
      <c r="D20" s="173"/>
      <c r="E20" s="371" t="s">
        <v>569</v>
      </c>
      <c r="F20" s="252"/>
      <c r="G20" s="250"/>
    </row>
    <row r="21" spans="1:7">
      <c r="A21" s="158" t="s">
        <v>225</v>
      </c>
      <c r="B21" s="234"/>
      <c r="C21" s="234"/>
      <c r="D21" s="248"/>
      <c r="E21" s="371" t="s">
        <v>570</v>
      </c>
      <c r="F21" s="252"/>
      <c r="G21" s="250"/>
    </row>
    <row r="22" spans="1:7" ht="13.5" thickBot="1">
      <c r="A22" s="159"/>
      <c r="B22" s="213"/>
      <c r="C22" s="213"/>
      <c r="D22" s="254"/>
      <c r="E22" s="374" t="s">
        <v>356</v>
      </c>
      <c r="F22" s="255"/>
      <c r="G22" s="256"/>
    </row>
    <row r="24" spans="1:7">
      <c r="A24" s="1"/>
    </row>
    <row r="25" spans="1:7">
      <c r="A25" s="258"/>
      <c r="B25" s="258"/>
    </row>
    <row r="26" spans="1:7">
      <c r="A26" s="258"/>
      <c r="B26" s="258"/>
    </row>
    <row r="27" spans="1:7">
      <c r="A27" s="375"/>
      <c r="B27" s="258"/>
    </row>
    <row r="28" spans="1:7">
      <c r="A28" s="258"/>
    </row>
    <row r="29" spans="1:7">
      <c r="A29" s="258"/>
    </row>
    <row r="30" spans="1:7">
      <c r="A30" s="258"/>
      <c r="C30" s="1"/>
    </row>
    <row r="31" spans="1:7">
      <c r="A31" s="258"/>
    </row>
    <row r="32" spans="1:7">
      <c r="A32" s="258"/>
    </row>
    <row r="33" spans="1:1">
      <c r="A33" s="258"/>
    </row>
    <row r="34" spans="1:1">
      <c r="A34" s="258"/>
    </row>
    <row r="35" spans="1:1">
      <c r="A35" s="258"/>
    </row>
    <row r="36" spans="1:1">
      <c r="A36" s="258"/>
    </row>
  </sheetData>
  <mergeCells count="6">
    <mergeCell ref="E16:G16"/>
    <mergeCell ref="A2:D2"/>
    <mergeCell ref="E2:G2"/>
    <mergeCell ref="A3:D3"/>
    <mergeCell ref="E3:G3"/>
    <mergeCell ref="A8:D8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>
  <dimension ref="A1:G17"/>
  <sheetViews>
    <sheetView workbookViewId="0">
      <selection activeCell="G6" sqref="G6"/>
    </sheetView>
  </sheetViews>
  <sheetFormatPr baseColWidth="10" defaultRowHeight="12.75"/>
  <cols>
    <col min="1" max="1" width="26.42578125" bestFit="1" customWidth="1"/>
    <col min="2" max="3" width="9.140625" bestFit="1" customWidth="1"/>
    <col min="4" max="4" width="11.85546875" bestFit="1" customWidth="1"/>
    <col min="5" max="5" width="13.42578125" bestFit="1" customWidth="1"/>
    <col min="7" max="7" width="20.42578125" bestFit="1" customWidth="1"/>
  </cols>
  <sheetData>
    <row r="1" spans="1:7">
      <c r="A1" s="491" t="s">
        <v>593</v>
      </c>
      <c r="B1" s="465"/>
      <c r="C1" s="466"/>
    </row>
    <row r="2" spans="1:7">
      <c r="A2" s="158"/>
      <c r="B2" s="162"/>
      <c r="C2" s="173"/>
    </row>
    <row r="3" spans="1:7">
      <c r="A3" s="158"/>
      <c r="B3" s="246" t="s">
        <v>547</v>
      </c>
      <c r="C3" s="247" t="s">
        <v>548</v>
      </c>
    </row>
    <row r="4" spans="1:7">
      <c r="A4" s="158" t="s">
        <v>594</v>
      </c>
      <c r="B4" s="337"/>
      <c r="C4" s="342"/>
    </row>
    <row r="5" spans="1:7">
      <c r="A5" s="158" t="s">
        <v>279</v>
      </c>
      <c r="B5" s="337"/>
      <c r="C5" s="342"/>
    </row>
    <row r="6" spans="1:7">
      <c r="A6" s="158" t="s">
        <v>595</v>
      </c>
      <c r="B6" s="507"/>
      <c r="C6" s="508"/>
    </row>
    <row r="7" spans="1:7">
      <c r="A7" s="158" t="s">
        <v>596</v>
      </c>
      <c r="B7" s="337"/>
      <c r="C7" s="342"/>
      <c r="E7" s="1"/>
    </row>
    <row r="8" spans="1:7">
      <c r="A8" s="158" t="s">
        <v>597</v>
      </c>
      <c r="B8" s="337"/>
      <c r="C8" s="342"/>
    </row>
    <row r="9" spans="1:7">
      <c r="A9" s="236" t="s">
        <v>598</v>
      </c>
      <c r="B9" s="509"/>
      <c r="C9" s="510"/>
    </row>
    <row r="10" spans="1:7">
      <c r="A10" s="158" t="s">
        <v>599</v>
      </c>
      <c r="B10" s="337"/>
      <c r="C10" s="342"/>
    </row>
    <row r="11" spans="1:7" ht="13.5" thickBot="1">
      <c r="A11" s="236" t="s">
        <v>600</v>
      </c>
      <c r="B11" s="337"/>
      <c r="C11" s="342"/>
    </row>
    <row r="12" spans="1:7">
      <c r="A12" s="158" t="s">
        <v>601</v>
      </c>
      <c r="B12" s="337"/>
      <c r="C12" s="342"/>
      <c r="D12" s="505" t="s">
        <v>606</v>
      </c>
      <c r="E12" s="505"/>
      <c r="F12" s="505"/>
      <c r="G12" s="506"/>
    </row>
    <row r="13" spans="1:7">
      <c r="A13" s="158" t="s">
        <v>602</v>
      </c>
      <c r="B13" s="337"/>
      <c r="C13" s="342"/>
      <c r="D13" s="338">
        <v>0</v>
      </c>
      <c r="E13" s="332">
        <v>5687</v>
      </c>
      <c r="F13" s="333">
        <v>0</v>
      </c>
      <c r="G13" s="173"/>
    </row>
    <row r="14" spans="1:7">
      <c r="A14" s="343" t="s">
        <v>612</v>
      </c>
      <c r="B14" s="341"/>
      <c r="C14" s="344"/>
      <c r="D14" s="339">
        <v>5687</v>
      </c>
      <c r="E14" s="332">
        <v>11344</v>
      </c>
      <c r="F14" s="333">
        <v>5.5E-2</v>
      </c>
      <c r="G14" s="334" t="s">
        <v>607</v>
      </c>
    </row>
    <row r="15" spans="1:7">
      <c r="A15" s="236" t="s">
        <v>603</v>
      </c>
      <c r="B15" s="493"/>
      <c r="C15" s="494"/>
      <c r="D15" s="338">
        <v>11344</v>
      </c>
      <c r="E15" s="332">
        <v>25195</v>
      </c>
      <c r="F15" s="333">
        <v>0.14000000000000001</v>
      </c>
      <c r="G15" s="173" t="s">
        <v>608</v>
      </c>
    </row>
    <row r="16" spans="1:7">
      <c r="A16" s="158" t="s">
        <v>604</v>
      </c>
      <c r="B16" s="511"/>
      <c r="C16" s="512"/>
      <c r="D16" s="340">
        <v>25195</v>
      </c>
      <c r="E16" s="332">
        <v>67546</v>
      </c>
      <c r="F16" s="333">
        <v>0.3</v>
      </c>
      <c r="G16" s="334" t="s">
        <v>609</v>
      </c>
    </row>
    <row r="17" spans="1:7" ht="13.5" thickBot="1">
      <c r="A17" s="244" t="s">
        <v>605</v>
      </c>
      <c r="B17" s="513"/>
      <c r="C17" s="514"/>
      <c r="D17" s="503" t="s">
        <v>610</v>
      </c>
      <c r="E17" s="504"/>
      <c r="F17" s="335">
        <v>0.4</v>
      </c>
      <c r="G17" s="336" t="s">
        <v>611</v>
      </c>
    </row>
  </sheetData>
  <mergeCells count="8">
    <mergeCell ref="D17:E17"/>
    <mergeCell ref="D12:G12"/>
    <mergeCell ref="A1:C1"/>
    <mergeCell ref="B6:C6"/>
    <mergeCell ref="B9:C9"/>
    <mergeCell ref="B15:C15"/>
    <mergeCell ref="B16:C16"/>
    <mergeCell ref="B17:C17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>
  <dimension ref="A1:F33"/>
  <sheetViews>
    <sheetView topLeftCell="A9" workbookViewId="0">
      <selection activeCell="B24" sqref="B24:B27"/>
    </sheetView>
  </sheetViews>
  <sheetFormatPr baseColWidth="10" defaultRowHeight="12.75"/>
  <cols>
    <col min="2" max="2" width="21.85546875" bestFit="1" customWidth="1"/>
    <col min="3" max="3" width="14.42578125" bestFit="1" customWidth="1"/>
    <col min="4" max="4" width="13.140625" customWidth="1"/>
    <col min="5" max="5" width="12.140625" customWidth="1"/>
    <col min="6" max="6" width="108.42578125" customWidth="1"/>
  </cols>
  <sheetData>
    <row r="1" spans="1:6" ht="15.75">
      <c r="A1" s="515" t="s">
        <v>636</v>
      </c>
      <c r="B1" s="515"/>
      <c r="C1" s="515"/>
      <c r="D1" s="515"/>
      <c r="E1" s="515"/>
      <c r="F1" s="515"/>
    </row>
    <row r="2" spans="1:6" ht="15.75">
      <c r="A2" s="415" t="s">
        <v>637</v>
      </c>
      <c r="B2" s="415" t="s">
        <v>638</v>
      </c>
      <c r="C2" s="1"/>
      <c r="D2" s="415" t="s">
        <v>526</v>
      </c>
      <c r="E2" s="415" t="s">
        <v>527</v>
      </c>
      <c r="F2" s="415" t="s">
        <v>639</v>
      </c>
    </row>
    <row r="3" spans="1:6" ht="15.75">
      <c r="A3" s="416" t="s">
        <v>640</v>
      </c>
      <c r="B3" s="417" t="s">
        <v>641</v>
      </c>
      <c r="C3" s="416"/>
      <c r="D3" s="418"/>
      <c r="E3" s="418"/>
    </row>
    <row r="4" spans="1:6" ht="15.75">
      <c r="A4" s="416" t="s">
        <v>642</v>
      </c>
      <c r="B4" s="417" t="s">
        <v>136</v>
      </c>
      <c r="C4" s="416"/>
      <c r="D4" s="418"/>
      <c r="E4" s="418"/>
    </row>
    <row r="5" spans="1:6" ht="15.75">
      <c r="A5" s="416" t="s">
        <v>643</v>
      </c>
      <c r="B5" s="417" t="s">
        <v>644</v>
      </c>
      <c r="C5" s="416"/>
      <c r="D5" s="418"/>
      <c r="E5" s="418"/>
      <c r="F5" t="s">
        <v>645</v>
      </c>
    </row>
    <row r="6" spans="1:6" ht="15.75">
      <c r="A6" s="416" t="s">
        <v>646</v>
      </c>
      <c r="B6" s="417" t="s">
        <v>647</v>
      </c>
      <c r="C6" s="416"/>
      <c r="D6" s="418"/>
      <c r="E6" s="418"/>
    </row>
    <row r="7" spans="1:6" ht="15.75">
      <c r="A7" s="416" t="s">
        <v>648</v>
      </c>
      <c r="B7" s="417" t="s">
        <v>560</v>
      </c>
      <c r="D7" s="22"/>
      <c r="E7" s="22"/>
    </row>
    <row r="8" spans="1:6" ht="15.75">
      <c r="A8" s="416" t="s">
        <v>649</v>
      </c>
      <c r="B8" s="417" t="s">
        <v>650</v>
      </c>
      <c r="D8" s="22"/>
      <c r="E8" s="22"/>
    </row>
    <row r="9" spans="1:6" ht="15.75">
      <c r="A9" s="416" t="s">
        <v>651</v>
      </c>
      <c r="B9" s="4" t="s">
        <v>652</v>
      </c>
      <c r="D9" s="22"/>
      <c r="E9" s="22"/>
      <c r="F9" t="s">
        <v>653</v>
      </c>
    </row>
    <row r="10" spans="1:6" ht="15.75">
      <c r="A10" s="416" t="s">
        <v>654</v>
      </c>
      <c r="B10" s="4" t="s">
        <v>655</v>
      </c>
      <c r="D10" s="22"/>
      <c r="E10" s="22"/>
    </row>
    <row r="11" spans="1:6" ht="15.75">
      <c r="A11" s="416" t="s">
        <v>656</v>
      </c>
      <c r="B11" s="417" t="s">
        <v>657</v>
      </c>
      <c r="D11" s="22"/>
      <c r="E11" s="22"/>
    </row>
    <row r="12" spans="1:6" ht="15.75">
      <c r="A12" s="416"/>
      <c r="B12" s="417"/>
      <c r="D12" s="22"/>
      <c r="E12" s="22"/>
    </row>
    <row r="13" spans="1:6" ht="15.75">
      <c r="A13" s="415" t="s">
        <v>658</v>
      </c>
      <c r="B13" s="398" t="s">
        <v>659</v>
      </c>
      <c r="C13" s="415" t="s">
        <v>660</v>
      </c>
      <c r="D13" s="419" t="s">
        <v>526</v>
      </c>
      <c r="E13" s="419" t="s">
        <v>527</v>
      </c>
      <c r="F13" s="398" t="s">
        <v>639</v>
      </c>
    </row>
    <row r="14" spans="1:6" ht="25.5">
      <c r="A14" s="420" t="s">
        <v>661</v>
      </c>
      <c r="B14" s="421" t="s">
        <v>662</v>
      </c>
      <c r="C14" s="421">
        <v>62.01</v>
      </c>
      <c r="D14" s="422"/>
      <c r="E14" s="422"/>
      <c r="F14" s="423" t="s">
        <v>663</v>
      </c>
    </row>
    <row r="15" spans="1:6" ht="38.25">
      <c r="A15" s="420" t="s">
        <v>664</v>
      </c>
      <c r="B15" s="421" t="s">
        <v>665</v>
      </c>
      <c r="C15" s="421">
        <v>10.31</v>
      </c>
      <c r="D15" s="422"/>
      <c r="E15" s="422"/>
      <c r="F15" s="423" t="s">
        <v>666</v>
      </c>
    </row>
    <row r="16" spans="1:6" ht="15.75">
      <c r="A16" s="420" t="s">
        <v>667</v>
      </c>
      <c r="B16" s="421" t="s">
        <v>668</v>
      </c>
      <c r="C16" s="421"/>
      <c r="D16" s="424"/>
      <c r="E16" s="424"/>
      <c r="F16" s="425" t="s">
        <v>669</v>
      </c>
    </row>
    <row r="17" spans="1:6">
      <c r="A17" s="426"/>
      <c r="B17" s="421" t="s">
        <v>670</v>
      </c>
      <c r="C17" s="427">
        <v>49.8</v>
      </c>
      <c r="D17" s="422"/>
      <c r="E17" s="422"/>
      <c r="F17" s="425" t="s">
        <v>671</v>
      </c>
    </row>
    <row r="18" spans="1:6" ht="25.5">
      <c r="A18" s="420" t="s">
        <v>672</v>
      </c>
      <c r="B18" s="421" t="s">
        <v>673</v>
      </c>
      <c r="C18" s="421"/>
      <c r="D18" s="422"/>
      <c r="E18" s="422"/>
      <c r="F18" s="423" t="s">
        <v>674</v>
      </c>
    </row>
    <row r="19" spans="1:6" ht="15.75">
      <c r="A19" s="420" t="s">
        <v>675</v>
      </c>
      <c r="B19" s="421" t="s">
        <v>676</v>
      </c>
      <c r="C19" s="421">
        <v>5.03</v>
      </c>
      <c r="D19" s="422"/>
      <c r="E19" s="422"/>
      <c r="F19" s="423" t="s">
        <v>677</v>
      </c>
    </row>
    <row r="20" spans="1:6">
      <c r="A20" s="426"/>
      <c r="B20" s="421" t="s">
        <v>678</v>
      </c>
      <c r="C20" s="421">
        <v>3.12</v>
      </c>
      <c r="D20" s="422"/>
      <c r="E20" s="422"/>
      <c r="F20" s="426" t="s">
        <v>679</v>
      </c>
    </row>
    <row r="21" spans="1:6" ht="15.75">
      <c r="A21" s="420" t="s">
        <v>680</v>
      </c>
      <c r="B21" s="421" t="s">
        <v>681</v>
      </c>
      <c r="C21" s="421"/>
      <c r="D21" s="422"/>
      <c r="E21" s="422"/>
      <c r="F21" s="425" t="s">
        <v>682</v>
      </c>
    </row>
    <row r="22" spans="1:6" ht="13.5" thickBot="1">
      <c r="A22" s="426"/>
      <c r="B22" s="421" t="s">
        <v>683</v>
      </c>
      <c r="C22" s="421">
        <v>26.13</v>
      </c>
      <c r="D22" s="422"/>
      <c r="E22" s="422"/>
      <c r="F22" s="425" t="s">
        <v>684</v>
      </c>
    </row>
    <row r="23" spans="1:6" ht="16.5" thickTop="1">
      <c r="A23" s="516" t="s">
        <v>696</v>
      </c>
      <c r="B23" s="517"/>
      <c r="C23" s="438" t="s">
        <v>526</v>
      </c>
      <c r="D23" s="439" t="s">
        <v>527</v>
      </c>
      <c r="E23" s="33"/>
    </row>
    <row r="24" spans="1:6">
      <c r="A24" s="428" t="s">
        <v>685</v>
      </c>
      <c r="B24" s="162" t="s">
        <v>565</v>
      </c>
      <c r="C24" s="162"/>
      <c r="D24" s="429"/>
      <c r="E24" s="440"/>
    </row>
    <row r="25" spans="1:6">
      <c r="A25" s="428" t="s">
        <v>640</v>
      </c>
      <c r="B25" s="162" t="s">
        <v>641</v>
      </c>
      <c r="C25" s="162"/>
      <c r="D25" s="429"/>
      <c r="E25" s="440"/>
    </row>
    <row r="26" spans="1:6">
      <c r="A26" s="428" t="s">
        <v>649</v>
      </c>
      <c r="B26" s="162" t="s">
        <v>697</v>
      </c>
      <c r="C26" s="162"/>
      <c r="D26" s="429"/>
      <c r="E26" s="440"/>
    </row>
    <row r="27" spans="1:6">
      <c r="A27" s="428" t="s">
        <v>686</v>
      </c>
      <c r="B27" s="162" t="s">
        <v>554</v>
      </c>
      <c r="C27" s="162"/>
      <c r="D27" s="429"/>
      <c r="E27" s="440"/>
    </row>
    <row r="28" spans="1:6">
      <c r="A28" s="428" t="s">
        <v>687</v>
      </c>
      <c r="B28" s="309" t="s">
        <v>688</v>
      </c>
      <c r="C28" s="162"/>
      <c r="D28" s="430"/>
      <c r="E28" s="441"/>
    </row>
    <row r="29" spans="1:6">
      <c r="A29" s="428" t="s">
        <v>689</v>
      </c>
      <c r="B29" s="309" t="s">
        <v>690</v>
      </c>
      <c r="C29" s="162"/>
      <c r="D29" s="431"/>
      <c r="E29" s="442"/>
    </row>
    <row r="30" spans="1:6">
      <c r="A30" s="428" t="s">
        <v>691</v>
      </c>
      <c r="B30" s="309" t="s">
        <v>676</v>
      </c>
      <c r="C30" s="162"/>
      <c r="D30" s="430"/>
      <c r="E30" s="441"/>
    </row>
    <row r="31" spans="1:6" ht="25.5">
      <c r="A31" s="432" t="s">
        <v>692</v>
      </c>
      <c r="B31" s="309" t="s">
        <v>693</v>
      </c>
      <c r="C31" s="162"/>
      <c r="D31" s="433"/>
      <c r="E31" s="443"/>
    </row>
    <row r="32" spans="1:6" ht="26.25" thickBot="1">
      <c r="A32" s="434" t="s">
        <v>694</v>
      </c>
      <c r="B32" s="435" t="s">
        <v>695</v>
      </c>
      <c r="C32" s="436"/>
      <c r="D32" s="437"/>
      <c r="E32" s="444"/>
    </row>
    <row r="33" ht="13.5" thickTop="1"/>
  </sheetData>
  <mergeCells count="2">
    <mergeCell ref="A1:F1"/>
    <mergeCell ref="A23:B23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AI84"/>
  <sheetViews>
    <sheetView topLeftCell="J32" workbookViewId="0">
      <selection activeCell="AH86" sqref="AH86"/>
    </sheetView>
  </sheetViews>
  <sheetFormatPr baseColWidth="10" defaultRowHeight="12.75"/>
  <cols>
    <col min="1" max="1" width="35.28515625" bestFit="1" customWidth="1"/>
    <col min="2" max="2" width="4.140625" bestFit="1" customWidth="1"/>
    <col min="3" max="3" width="24" bestFit="1" customWidth="1"/>
    <col min="4" max="14" width="8.28515625" customWidth="1"/>
    <col min="15" max="15" width="8.28515625" style="20" customWidth="1"/>
    <col min="16" max="16" width="8.28515625" bestFit="1" customWidth="1"/>
    <col min="17" max="26" width="8.28515625" customWidth="1"/>
    <col min="27" max="27" width="8.28515625" style="20" customWidth="1"/>
    <col min="28" max="33" width="8.28515625" customWidth="1"/>
    <col min="34" max="34" width="8" customWidth="1"/>
  </cols>
  <sheetData>
    <row r="1" spans="1:34">
      <c r="A1" s="27" t="s">
        <v>417</v>
      </c>
      <c r="D1" s="461" t="s">
        <v>415</v>
      </c>
      <c r="E1" s="461"/>
      <c r="F1" s="461"/>
      <c r="G1" s="461"/>
      <c r="H1" s="461"/>
      <c r="I1" s="461"/>
      <c r="J1" s="461"/>
      <c r="K1" s="461"/>
      <c r="L1" s="461"/>
      <c r="M1" s="461"/>
      <c r="N1" s="461"/>
      <c r="O1" s="462"/>
      <c r="P1" s="461" t="s">
        <v>416</v>
      </c>
      <c r="Q1" s="461"/>
      <c r="R1" s="461"/>
      <c r="S1" s="461"/>
      <c r="T1" s="461"/>
      <c r="U1" s="461"/>
      <c r="V1" s="461"/>
      <c r="W1" s="461"/>
      <c r="X1" s="461"/>
      <c r="Y1" s="461"/>
      <c r="Z1" s="461"/>
      <c r="AA1" s="462"/>
      <c r="AB1" s="463" t="s">
        <v>538</v>
      </c>
      <c r="AC1" s="464"/>
      <c r="AD1" s="464"/>
      <c r="AE1" s="464"/>
      <c r="AF1" s="464"/>
      <c r="AG1" s="464"/>
      <c r="AH1" s="464"/>
    </row>
    <row r="2" spans="1:34">
      <c r="A2" s="41">
        <f>'Budget, PV contrat'!D21</f>
        <v>119600</v>
      </c>
      <c r="C2" s="1" t="s">
        <v>423</v>
      </c>
      <c r="D2" s="40" t="s">
        <v>324</v>
      </c>
      <c r="E2" s="40" t="s">
        <v>325</v>
      </c>
      <c r="F2" s="40" t="s">
        <v>326</v>
      </c>
      <c r="G2" s="40" t="s">
        <v>327</v>
      </c>
      <c r="H2" s="40" t="s">
        <v>326</v>
      </c>
      <c r="I2" s="40" t="s">
        <v>324</v>
      </c>
      <c r="J2" s="40" t="s">
        <v>324</v>
      </c>
      <c r="K2" s="40" t="s">
        <v>327</v>
      </c>
      <c r="L2" s="40" t="s">
        <v>328</v>
      </c>
      <c r="M2" s="40" t="s">
        <v>329</v>
      </c>
      <c r="N2" s="40" t="s">
        <v>330</v>
      </c>
      <c r="O2" s="43" t="s">
        <v>331</v>
      </c>
      <c r="P2" s="40" t="s">
        <v>324</v>
      </c>
      <c r="Q2" s="40" t="s">
        <v>325</v>
      </c>
      <c r="R2" s="40" t="s">
        <v>326</v>
      </c>
      <c r="S2" s="40" t="s">
        <v>327</v>
      </c>
      <c r="T2" s="40" t="s">
        <v>326</v>
      </c>
      <c r="U2" s="40" t="s">
        <v>324</v>
      </c>
      <c r="V2" s="40" t="s">
        <v>324</v>
      </c>
      <c r="W2" s="40" t="s">
        <v>327</v>
      </c>
      <c r="X2" s="40" t="s">
        <v>328</v>
      </c>
      <c r="Y2" s="40" t="s">
        <v>329</v>
      </c>
      <c r="Z2" s="40" t="s">
        <v>330</v>
      </c>
      <c r="AA2" s="43" t="s">
        <v>331</v>
      </c>
      <c r="AB2" s="40" t="s">
        <v>324</v>
      </c>
      <c r="AC2" s="40" t="s">
        <v>325</v>
      </c>
      <c r="AD2" s="40" t="s">
        <v>326</v>
      </c>
      <c r="AE2" s="40" t="s">
        <v>327</v>
      </c>
      <c r="AF2" s="40" t="s">
        <v>326</v>
      </c>
      <c r="AG2" s="40" t="s">
        <v>324</v>
      </c>
    </row>
    <row r="3" spans="1:34">
      <c r="A3" s="27" t="s">
        <v>418</v>
      </c>
      <c r="C3" s="19" t="s">
        <v>420</v>
      </c>
      <c r="D3" s="40">
        <f>IF('Tableau simu'!B3="Oui",1,0)</f>
        <v>0</v>
      </c>
      <c r="E3" s="40"/>
      <c r="F3" s="40"/>
      <c r="G3" s="40"/>
      <c r="H3" s="40" t="s">
        <v>263</v>
      </c>
      <c r="I3" s="40"/>
      <c r="J3" s="40"/>
      <c r="K3" s="40"/>
      <c r="L3" s="40"/>
      <c r="M3" s="40"/>
      <c r="N3" s="40"/>
      <c r="O3" s="43"/>
      <c r="P3" s="40">
        <f>IF('Tableau simu'!C3="Oui",1,0)</f>
        <v>1</v>
      </c>
      <c r="Q3" s="40"/>
      <c r="R3" s="40"/>
      <c r="S3" s="40"/>
      <c r="T3" s="40" t="s">
        <v>263</v>
      </c>
      <c r="U3" s="40"/>
      <c r="V3" s="40"/>
      <c r="W3" s="40"/>
      <c r="X3" s="40"/>
      <c r="Y3" s="40"/>
      <c r="Z3" s="40"/>
      <c r="AA3" s="43"/>
      <c r="AB3" s="40"/>
      <c r="AC3" s="40"/>
      <c r="AD3" s="40"/>
      <c r="AE3" s="40"/>
      <c r="AF3" s="40"/>
      <c r="AG3" s="40"/>
    </row>
    <row r="4" spans="1:34">
      <c r="A4" s="41">
        <f>'Budget, PV contrat'!G21</f>
        <v>95680</v>
      </c>
      <c r="C4" s="37" t="s">
        <v>422</v>
      </c>
      <c r="D4" s="40">
        <f>IF($B$9=0,0,$D$3*$B$9*$A$2)</f>
        <v>0</v>
      </c>
      <c r="E4" s="40"/>
      <c r="F4" s="40">
        <f>IF($B$10=0,0,$D$3*$B$10*$A$2)</f>
        <v>0</v>
      </c>
      <c r="G4" s="40"/>
      <c r="H4" s="129">
        <f>IF($B$11=0,0,$D$3*$B$11*$A$2)</f>
        <v>0</v>
      </c>
      <c r="I4" s="40"/>
      <c r="J4" s="40"/>
      <c r="K4" s="40"/>
      <c r="L4" s="40"/>
      <c r="M4" s="40"/>
      <c r="N4" s="40"/>
      <c r="O4" s="43"/>
      <c r="P4" s="40">
        <f>IF($B$9=0,0,$P$3*$B$9*$A$4)</f>
        <v>9568</v>
      </c>
      <c r="Q4" s="40"/>
      <c r="R4" s="40">
        <f>IF($B$10=0,0,$P$3*$B$10*$A$4)</f>
        <v>38272</v>
      </c>
      <c r="S4" s="40"/>
      <c r="T4" s="41">
        <f>IF($B$11=0,0,$P$3*$B$11*$A$4)</f>
        <v>47840</v>
      </c>
      <c r="U4" s="40"/>
      <c r="V4" s="40"/>
      <c r="W4" s="40"/>
      <c r="X4" s="40"/>
      <c r="Y4" s="40"/>
      <c r="Z4" s="40"/>
      <c r="AA4" s="43"/>
      <c r="AB4" s="40"/>
      <c r="AC4" s="40"/>
      <c r="AD4" s="40"/>
      <c r="AE4" s="40"/>
      <c r="AF4" s="40"/>
      <c r="AG4" s="40"/>
    </row>
    <row r="5" spans="1:34">
      <c r="A5" s="27" t="s">
        <v>419</v>
      </c>
      <c r="C5" s="37" t="s">
        <v>333</v>
      </c>
      <c r="D5" s="40"/>
      <c r="E5" s="40">
        <f>D4</f>
        <v>0</v>
      </c>
      <c r="F5" s="40"/>
      <c r="G5" s="40">
        <f>F4</f>
        <v>0</v>
      </c>
      <c r="H5" s="40"/>
      <c r="I5" s="129">
        <f>H4</f>
        <v>0</v>
      </c>
      <c r="J5" s="40"/>
      <c r="K5" s="40"/>
      <c r="L5" s="40"/>
      <c r="M5" s="40"/>
      <c r="N5" s="40"/>
      <c r="O5" s="43"/>
      <c r="P5" s="40"/>
      <c r="Q5" s="40">
        <f>P4</f>
        <v>9568</v>
      </c>
      <c r="R5" s="40"/>
      <c r="S5" s="40">
        <f>R4</f>
        <v>38272</v>
      </c>
      <c r="T5" s="40"/>
      <c r="U5" s="41">
        <f>T4</f>
        <v>47840</v>
      </c>
      <c r="V5" s="40"/>
      <c r="W5" s="40"/>
      <c r="X5" s="40"/>
      <c r="Y5" s="40"/>
      <c r="Z5" s="40"/>
      <c r="AA5" s="43"/>
      <c r="AB5" s="40"/>
      <c r="AC5" s="40"/>
      <c r="AD5" s="40"/>
      <c r="AE5" s="40"/>
      <c r="AF5" s="40"/>
      <c r="AG5" s="40"/>
    </row>
    <row r="6" spans="1:34">
      <c r="A6" s="41">
        <f>'Budget, PV contrat'!J21</f>
        <v>143520</v>
      </c>
      <c r="C6" s="19" t="s">
        <v>421</v>
      </c>
      <c r="D6" s="40"/>
      <c r="E6" s="40">
        <f>IF('Tableau simu'!B4="Oui",1,0)</f>
        <v>0</v>
      </c>
      <c r="F6" s="40"/>
      <c r="G6" s="40"/>
      <c r="H6" s="40"/>
      <c r="I6" s="40" t="s">
        <v>263</v>
      </c>
      <c r="J6" s="40"/>
      <c r="K6" s="40"/>
      <c r="L6" s="40"/>
      <c r="M6" s="40"/>
      <c r="N6" s="40"/>
      <c r="O6" s="43"/>
      <c r="P6" s="40"/>
      <c r="Q6" s="40">
        <f>IF('Tableau simu'!C4="Oui",1,0)</f>
        <v>1</v>
      </c>
      <c r="R6" s="40"/>
      <c r="S6" s="40"/>
      <c r="T6" s="40"/>
      <c r="U6" s="40" t="s">
        <v>263</v>
      </c>
      <c r="V6" s="40"/>
      <c r="W6" s="40"/>
      <c r="X6" s="40"/>
      <c r="Y6" s="40"/>
      <c r="Z6" s="40"/>
      <c r="AA6" s="43"/>
      <c r="AB6" s="40"/>
      <c r="AC6" s="40"/>
      <c r="AD6" s="40"/>
      <c r="AE6" s="40"/>
      <c r="AF6" s="40"/>
      <c r="AG6" s="40"/>
    </row>
    <row r="7" spans="1:34">
      <c r="A7" s="17"/>
      <c r="C7" s="37" t="s">
        <v>332</v>
      </c>
      <c r="D7" s="40"/>
      <c r="E7" s="40">
        <f>IF($B$9=0,0,$E$6*$B$9*$A$2)</f>
        <v>0</v>
      </c>
      <c r="F7" s="40"/>
      <c r="G7" s="40">
        <f>IF($B$10=0,0,$E$6*$B$10*$A$2)</f>
        <v>0</v>
      </c>
      <c r="H7" s="40"/>
      <c r="I7" s="41">
        <f>IF($B$11=0,0,$E$6*$B$11*$A$2)</f>
        <v>0</v>
      </c>
      <c r="J7" s="40"/>
      <c r="K7" s="40"/>
      <c r="L7" s="40"/>
      <c r="M7" s="40"/>
      <c r="N7" s="40"/>
      <c r="O7" s="43"/>
      <c r="P7" s="40"/>
      <c r="Q7" s="40">
        <f>IF($B$9=0,0,$Q$6*$B$9*$A$4)</f>
        <v>9568</v>
      </c>
      <c r="R7" s="40"/>
      <c r="S7" s="40">
        <f>IF($B$10=0,0,$Q$6*$B$10*$A$4)</f>
        <v>38272</v>
      </c>
      <c r="T7" s="40"/>
      <c r="U7" s="41">
        <f>IF($B$11=0,0,$Q$6*$B$11*$A$4)</f>
        <v>47840</v>
      </c>
      <c r="V7" s="40"/>
      <c r="W7" s="40"/>
      <c r="X7" s="40"/>
      <c r="Y7" s="40"/>
      <c r="Z7" s="40"/>
      <c r="AA7" s="43"/>
      <c r="AB7" s="40"/>
      <c r="AC7" s="40"/>
      <c r="AD7" s="40"/>
      <c r="AE7" s="40"/>
      <c r="AF7" s="40"/>
      <c r="AG7" s="40"/>
    </row>
    <row r="8" spans="1:34">
      <c r="A8" s="19" t="s">
        <v>346</v>
      </c>
      <c r="B8" s="45"/>
      <c r="C8" s="37" t="s">
        <v>333</v>
      </c>
      <c r="D8" s="40"/>
      <c r="E8" s="40"/>
      <c r="F8" s="40">
        <f>IF($B$9=0,0,$E$6*$B$9*$A$2)</f>
        <v>0</v>
      </c>
      <c r="G8" s="40"/>
      <c r="H8" s="40">
        <f>IF($B$10=0,0,$E$6*$B$10*$A$2)</f>
        <v>0</v>
      </c>
      <c r="I8" s="40"/>
      <c r="J8" s="41">
        <f>IF($B$11=0,0,$E$6*$B$11*$A$2)</f>
        <v>0</v>
      </c>
      <c r="K8" s="40"/>
      <c r="L8" s="40"/>
      <c r="M8" s="40"/>
      <c r="N8" s="40"/>
      <c r="O8" s="43"/>
      <c r="P8" s="40"/>
      <c r="Q8" s="40"/>
      <c r="R8" s="40">
        <f>Q7</f>
        <v>9568</v>
      </c>
      <c r="S8" s="40"/>
      <c r="T8" s="40">
        <f>S7</f>
        <v>38272</v>
      </c>
      <c r="U8" s="40"/>
      <c r="V8" s="41">
        <f>U7</f>
        <v>47840</v>
      </c>
      <c r="W8" s="40"/>
      <c r="X8" s="40"/>
      <c r="Y8" s="40"/>
      <c r="Z8" s="40"/>
      <c r="AA8" s="43"/>
      <c r="AB8" s="40"/>
      <c r="AC8" s="40"/>
      <c r="AD8" s="40"/>
      <c r="AE8" s="40"/>
      <c r="AF8" s="40"/>
      <c r="AG8" s="40"/>
    </row>
    <row r="9" spans="1:34">
      <c r="A9" s="17" t="s">
        <v>318</v>
      </c>
      <c r="B9" s="26">
        <f>'Tableau simu'!B20</f>
        <v>0.1</v>
      </c>
      <c r="C9" s="39" t="s">
        <v>334</v>
      </c>
      <c r="D9" s="40"/>
      <c r="E9" s="40"/>
      <c r="F9" s="40">
        <f>IF('Tableau simu'!B5="Oui",1,0)</f>
        <v>1</v>
      </c>
      <c r="G9" s="40"/>
      <c r="H9" s="40"/>
      <c r="I9" s="40"/>
      <c r="J9" s="40" t="s">
        <v>263</v>
      </c>
      <c r="K9" s="40"/>
      <c r="L9" s="40"/>
      <c r="M9" s="40"/>
      <c r="N9" s="40"/>
      <c r="O9" s="43"/>
      <c r="P9" s="37"/>
      <c r="Q9" s="37"/>
      <c r="R9" s="40">
        <f>IF('Tableau simu'!C5="Oui",1,0)</f>
        <v>1</v>
      </c>
      <c r="S9" s="37"/>
      <c r="T9" s="37"/>
      <c r="V9" s="40" t="s">
        <v>263</v>
      </c>
    </row>
    <row r="10" spans="1:34">
      <c r="A10" s="17" t="s">
        <v>315</v>
      </c>
      <c r="B10" s="26">
        <f>'Tableau simu'!B21</f>
        <v>0.4</v>
      </c>
      <c r="C10" s="37" t="s">
        <v>332</v>
      </c>
      <c r="D10" s="40"/>
      <c r="E10" s="40"/>
      <c r="F10" s="40">
        <f>IF($B$9=0,0,$F$9*$B$9*$A$2)</f>
        <v>11960</v>
      </c>
      <c r="G10" s="37"/>
      <c r="H10" s="40">
        <f>IF($B$10=0,0,$F$9*$B$10*$A$2)</f>
        <v>47840</v>
      </c>
      <c r="I10" s="40"/>
      <c r="J10" s="41">
        <f>IF($B$11=0,0,$F$9*$B$11*$A$2)</f>
        <v>59800</v>
      </c>
      <c r="K10" s="40"/>
      <c r="L10" s="40"/>
      <c r="M10" s="40"/>
      <c r="N10" s="40"/>
      <c r="O10" s="43"/>
      <c r="P10" s="37"/>
      <c r="Q10" s="37"/>
      <c r="R10" s="40">
        <f>IF($B$9=0,0,$R$9*$B$9*$A$4)</f>
        <v>9568</v>
      </c>
      <c r="S10" s="40"/>
      <c r="T10" s="40">
        <f>IF($B$10=0,0,$R$9*$B$10*$A$4)</f>
        <v>38272</v>
      </c>
      <c r="U10" s="40"/>
      <c r="V10" s="41">
        <f>IF($B$11=0,0,$R$9*$B$11*$A$4)</f>
        <v>47840</v>
      </c>
    </row>
    <row r="11" spans="1:34">
      <c r="A11" s="17" t="s">
        <v>316</v>
      </c>
      <c r="B11" s="46">
        <f>1-(B9+B10)</f>
        <v>0.5</v>
      </c>
      <c r="C11" s="37" t="s">
        <v>333</v>
      </c>
      <c r="D11" s="40"/>
      <c r="E11" s="40"/>
      <c r="F11" s="40"/>
      <c r="G11" s="40">
        <f>F10</f>
        <v>11960</v>
      </c>
      <c r="H11" s="40"/>
      <c r="I11" s="40">
        <f>H10</f>
        <v>47840</v>
      </c>
      <c r="J11" s="40"/>
      <c r="K11" s="41">
        <f>J10</f>
        <v>59800</v>
      </c>
      <c r="L11" s="40"/>
      <c r="M11" s="40"/>
      <c r="N11" s="40"/>
      <c r="O11" s="43"/>
      <c r="P11" s="37"/>
      <c r="Q11" s="37"/>
      <c r="R11" s="37"/>
      <c r="S11" s="40">
        <f>R10</f>
        <v>9568</v>
      </c>
      <c r="T11" s="40"/>
      <c r="U11" s="40">
        <f>T10</f>
        <v>38272</v>
      </c>
      <c r="V11" s="40"/>
      <c r="W11" s="41">
        <f>V10</f>
        <v>47840</v>
      </c>
    </row>
    <row r="12" spans="1:34">
      <c r="A12" s="17" t="s">
        <v>345</v>
      </c>
      <c r="B12" s="47" t="s">
        <v>377</v>
      </c>
      <c r="C12" s="39" t="s">
        <v>335</v>
      </c>
      <c r="D12" s="40"/>
      <c r="E12" s="40"/>
      <c r="F12" s="40"/>
      <c r="G12" s="40">
        <f>IF('Tableau simu'!B6="Oui",1,0)</f>
        <v>1</v>
      </c>
      <c r="H12" s="40"/>
      <c r="I12" s="40"/>
      <c r="J12" s="40"/>
      <c r="K12" s="40" t="s">
        <v>263</v>
      </c>
      <c r="L12" s="40"/>
      <c r="M12" s="40"/>
      <c r="N12" s="40"/>
      <c r="O12" s="43"/>
      <c r="P12" s="37"/>
      <c r="Q12" s="37"/>
      <c r="R12" s="37"/>
      <c r="S12" s="40">
        <f>IF('Tableau simu'!C6="Oui",1,0)</f>
        <v>1</v>
      </c>
      <c r="T12" s="37"/>
      <c r="W12" s="40" t="s">
        <v>263</v>
      </c>
    </row>
    <row r="13" spans="1:34">
      <c r="C13" s="37" t="s">
        <v>332</v>
      </c>
      <c r="D13" s="40"/>
      <c r="E13" s="40"/>
      <c r="F13" s="40"/>
      <c r="G13" s="40">
        <f>IF($B$9=0,0,$G$12*$B$9*$A$2)</f>
        <v>11960</v>
      </c>
      <c r="H13" s="37"/>
      <c r="I13" s="40">
        <f>IF($B$10=0,0,$G$12*$B$10*$A$2)</f>
        <v>47840</v>
      </c>
      <c r="J13" s="40"/>
      <c r="K13" s="41">
        <f>IF($B$11=0,0,$G$12*$B$11*$A$2)</f>
        <v>59800</v>
      </c>
      <c r="L13" s="40"/>
      <c r="M13" s="40"/>
      <c r="N13" s="40"/>
      <c r="O13" s="43"/>
      <c r="P13" s="37"/>
      <c r="Q13" s="37"/>
      <c r="R13" s="37"/>
      <c r="S13" s="40">
        <f>IF($B$9=0,0,$S$12*$B$9*$A$4)</f>
        <v>9568</v>
      </c>
      <c r="T13" s="40"/>
      <c r="U13" s="40">
        <f>IF($B$10=0,0,$S$12*$B$10*$A$4)</f>
        <v>38272</v>
      </c>
      <c r="V13" s="40"/>
      <c r="W13" s="41">
        <f>IF($B$11=0,0,$S$12*$B$11*$A$4)</f>
        <v>47840</v>
      </c>
    </row>
    <row r="14" spans="1:34">
      <c r="C14" s="37" t="s">
        <v>333</v>
      </c>
      <c r="D14" s="40"/>
      <c r="E14" s="40"/>
      <c r="F14" s="40"/>
      <c r="G14" s="40"/>
      <c r="H14" s="40">
        <f>G13</f>
        <v>11960</v>
      </c>
      <c r="I14" s="40"/>
      <c r="J14" s="40">
        <f>I13</f>
        <v>47840</v>
      </c>
      <c r="K14" s="40"/>
      <c r="L14" s="41">
        <f>K13</f>
        <v>59800</v>
      </c>
      <c r="M14" s="40"/>
      <c r="N14" s="40"/>
      <c r="O14" s="43"/>
      <c r="P14" s="37"/>
      <c r="Q14" s="37"/>
      <c r="R14" s="37"/>
      <c r="S14" s="37"/>
      <c r="T14" s="40">
        <f>S13</f>
        <v>9568</v>
      </c>
      <c r="U14" s="40"/>
      <c r="V14" s="40">
        <f>U13</f>
        <v>38272</v>
      </c>
      <c r="W14" s="40"/>
      <c r="X14" s="41">
        <f>W13</f>
        <v>47840</v>
      </c>
    </row>
    <row r="15" spans="1:34">
      <c r="C15" s="39" t="s">
        <v>336</v>
      </c>
      <c r="D15" s="40"/>
      <c r="E15" s="40"/>
      <c r="F15" s="40"/>
      <c r="G15" s="40"/>
      <c r="H15" s="40">
        <f>IF('Tableau simu'!B7="Oui",1,0)</f>
        <v>1</v>
      </c>
      <c r="I15" s="40"/>
      <c r="J15" s="40"/>
      <c r="K15" s="40"/>
      <c r="L15" s="40" t="s">
        <v>263</v>
      </c>
      <c r="M15" s="40"/>
      <c r="N15" s="40"/>
      <c r="O15" s="43"/>
      <c r="P15" s="37"/>
      <c r="Q15" s="37"/>
      <c r="R15" s="37"/>
      <c r="S15" s="37"/>
      <c r="T15" s="40">
        <f>IF('Tableau simu'!C7="Oui",1,0)</f>
        <v>1</v>
      </c>
      <c r="X15" s="40" t="s">
        <v>263</v>
      </c>
    </row>
    <row r="16" spans="1:34">
      <c r="C16" s="37" t="s">
        <v>332</v>
      </c>
      <c r="D16" s="40"/>
      <c r="E16" s="40"/>
      <c r="F16" s="40"/>
      <c r="G16" s="40"/>
      <c r="H16" s="40">
        <f>IF($B$9=0,0,$H$15*$B$9*$A$2)</f>
        <v>11960</v>
      </c>
      <c r="I16" s="37"/>
      <c r="J16" s="40">
        <f>IF($B$10=0,0,$H$15*$B$10*$A$2)</f>
        <v>47840</v>
      </c>
      <c r="K16" s="40"/>
      <c r="L16" s="41">
        <f>IF($B$11=0,0,$H$15*$B$11*$A$2)</f>
        <v>59800</v>
      </c>
      <c r="M16" s="40"/>
      <c r="N16" s="40"/>
      <c r="O16" s="43"/>
      <c r="P16" s="37"/>
      <c r="Q16" s="37"/>
      <c r="R16" s="37"/>
      <c r="S16" s="37"/>
      <c r="T16" s="40">
        <f>IF($B$9=0,0,$T$15*$B$9*$A$4)</f>
        <v>9568</v>
      </c>
      <c r="U16" s="40"/>
      <c r="V16" s="40">
        <f>IF($B$10=0,0,$T$15*$B$10*$A$4)</f>
        <v>38272</v>
      </c>
      <c r="W16" s="40"/>
      <c r="X16" s="41">
        <f>IF($B$11=0,0,$T$15*$B$11*$A$4)</f>
        <v>47840</v>
      </c>
    </row>
    <row r="17" spans="1:30">
      <c r="C17" s="37" t="s">
        <v>333</v>
      </c>
      <c r="D17" s="40"/>
      <c r="E17" s="40"/>
      <c r="F17" s="40"/>
      <c r="G17" s="40"/>
      <c r="H17" s="40"/>
      <c r="I17" s="40">
        <f>H16</f>
        <v>11960</v>
      </c>
      <c r="J17" s="40"/>
      <c r="K17" s="40">
        <f>J16</f>
        <v>47840</v>
      </c>
      <c r="L17" s="40"/>
      <c r="M17" s="41">
        <f>L16</f>
        <v>59800</v>
      </c>
      <c r="N17" s="40"/>
      <c r="O17" s="43"/>
      <c r="P17" s="37"/>
      <c r="Q17" s="37"/>
      <c r="R17" s="37"/>
      <c r="S17" s="37"/>
      <c r="T17" s="37"/>
      <c r="U17" s="40">
        <f>T16</f>
        <v>9568</v>
      </c>
      <c r="V17" s="40"/>
      <c r="W17" s="40">
        <f>V16</f>
        <v>38272</v>
      </c>
      <c r="X17" s="40"/>
      <c r="Y17" s="41">
        <f>X16</f>
        <v>47840</v>
      </c>
    </row>
    <row r="18" spans="1:30">
      <c r="C18" s="39" t="s">
        <v>337</v>
      </c>
      <c r="D18" s="40"/>
      <c r="E18" s="40"/>
      <c r="F18" s="40"/>
      <c r="G18" s="40"/>
      <c r="H18" s="40"/>
      <c r="I18" s="40">
        <f>IF('Tableau simu'!B8="Oui",1,0)</f>
        <v>1</v>
      </c>
      <c r="J18" s="40"/>
      <c r="K18" s="40"/>
      <c r="L18" s="40"/>
      <c r="M18" s="40" t="s">
        <v>263</v>
      </c>
      <c r="N18" s="40"/>
      <c r="O18" s="43"/>
      <c r="P18" s="37"/>
      <c r="Q18" s="37"/>
      <c r="R18" s="37"/>
      <c r="S18" s="37"/>
      <c r="T18" s="37"/>
      <c r="U18" s="40">
        <f>IF('Tableau simu'!C8="Oui",1,0)</f>
        <v>1</v>
      </c>
      <c r="Y18" s="40" t="s">
        <v>263</v>
      </c>
    </row>
    <row r="19" spans="1:30">
      <c r="A19" s="17"/>
      <c r="C19" s="37" t="s">
        <v>332</v>
      </c>
      <c r="D19" s="40"/>
      <c r="E19" s="40"/>
      <c r="F19" s="40"/>
      <c r="G19" s="40"/>
      <c r="H19" s="40"/>
      <c r="I19" s="40">
        <f>IF($B$9=0,0,$I$18*$B$9*$A$2)</f>
        <v>11960</v>
      </c>
      <c r="J19" s="37"/>
      <c r="K19" s="40">
        <f>IF($B$10=0,0,$I$18*$B$10*$A$2)</f>
        <v>47840</v>
      </c>
      <c r="L19" s="40"/>
      <c r="M19" s="41">
        <f>IF($B$11=0,0,$I$18*$B$11*$A$2)</f>
        <v>59800</v>
      </c>
      <c r="N19" s="40"/>
      <c r="O19" s="43"/>
      <c r="P19" s="37"/>
      <c r="Q19" s="37"/>
      <c r="R19" s="37"/>
      <c r="S19" s="37"/>
      <c r="T19" s="37"/>
      <c r="U19" s="40">
        <f>IF($B$9=0,0,$U$18*$B$9*$A$4)</f>
        <v>9568</v>
      </c>
      <c r="V19" s="40"/>
      <c r="W19" s="40">
        <f>IF($B$10=0,0,$U$18*$B$10*$A$4)</f>
        <v>38272</v>
      </c>
      <c r="X19" s="40"/>
      <c r="Y19" s="41">
        <f>IF($B$11=0,0,$U$18*$B$11*$A$4)</f>
        <v>47840</v>
      </c>
    </row>
    <row r="20" spans="1:30">
      <c r="C20" s="37" t="s">
        <v>333</v>
      </c>
      <c r="D20" s="40"/>
      <c r="E20" s="40"/>
      <c r="F20" s="40"/>
      <c r="G20" s="40"/>
      <c r="H20" s="40"/>
      <c r="I20" s="40"/>
      <c r="J20" s="40">
        <f>I19</f>
        <v>11960</v>
      </c>
      <c r="K20" s="40"/>
      <c r="L20" s="40">
        <f>K19</f>
        <v>47840</v>
      </c>
      <c r="M20" s="40"/>
      <c r="N20" s="41">
        <f>M19</f>
        <v>59800</v>
      </c>
      <c r="O20" s="43"/>
      <c r="P20" s="37"/>
      <c r="Q20" s="37"/>
      <c r="R20" s="37"/>
      <c r="S20" s="37"/>
      <c r="T20" s="37"/>
      <c r="V20" s="40">
        <f>U19</f>
        <v>9568</v>
      </c>
      <c r="W20" s="40"/>
      <c r="X20" s="40">
        <f>W19</f>
        <v>38272</v>
      </c>
      <c r="Y20" s="40"/>
      <c r="Z20" s="41">
        <f>Y19</f>
        <v>47840</v>
      </c>
    </row>
    <row r="21" spans="1:30">
      <c r="C21" s="39" t="s">
        <v>338</v>
      </c>
      <c r="D21" s="40"/>
      <c r="E21" s="40"/>
      <c r="F21" s="40"/>
      <c r="G21" s="40"/>
      <c r="H21" s="40"/>
      <c r="I21" s="40"/>
      <c r="J21" s="40">
        <f>IF('Tableau simu'!B9="Oui",1,0)</f>
        <v>1</v>
      </c>
      <c r="K21" s="40"/>
      <c r="L21" s="40"/>
      <c r="M21" s="40"/>
      <c r="N21" s="40" t="s">
        <v>263</v>
      </c>
      <c r="O21" s="43"/>
      <c r="P21" s="37"/>
      <c r="Q21" s="37"/>
      <c r="R21" s="37"/>
      <c r="S21" s="37"/>
      <c r="T21" s="37"/>
      <c r="V21" s="40">
        <f>IF('Tableau simu'!C9="Oui",1,0)</f>
        <v>1</v>
      </c>
      <c r="Z21" s="40" t="s">
        <v>263</v>
      </c>
    </row>
    <row r="22" spans="1:30">
      <c r="C22" s="37" t="s">
        <v>332</v>
      </c>
      <c r="D22" s="40"/>
      <c r="E22" s="40"/>
      <c r="F22" s="40"/>
      <c r="G22" s="40"/>
      <c r="H22" s="40"/>
      <c r="I22" s="40"/>
      <c r="J22" s="40">
        <f>IF($B$9=0,0,$J$21*$B$9*$A$2)</f>
        <v>11960</v>
      </c>
      <c r="K22" s="37"/>
      <c r="L22" s="40">
        <f>IF($B$10=0,0,$J$21*$B$10*$A$2)</f>
        <v>47840</v>
      </c>
      <c r="M22" s="40"/>
      <c r="N22" s="41">
        <f>IF($B$11=0,0,$J$21*$B$11*$A$2)</f>
        <v>59800</v>
      </c>
      <c r="O22" s="43"/>
      <c r="P22" s="37"/>
      <c r="Q22" s="37"/>
      <c r="R22" s="37"/>
      <c r="S22" s="37"/>
      <c r="T22" s="37"/>
      <c r="V22" s="40">
        <f>IF($B$9=0,0,$V$21*$B$9*$A$4)</f>
        <v>9568</v>
      </c>
      <c r="W22" s="40"/>
      <c r="X22" s="40">
        <f>IF($B$10=0,0,$V$21*$B$10*$A$4)</f>
        <v>38272</v>
      </c>
      <c r="Y22" s="40"/>
      <c r="Z22" s="41">
        <f>IF($B$11=0,0,$V$21*$B$11*$A$4)</f>
        <v>47840</v>
      </c>
    </row>
    <row r="23" spans="1:30">
      <c r="C23" s="37" t="s">
        <v>333</v>
      </c>
      <c r="D23" s="40"/>
      <c r="E23" s="40"/>
      <c r="F23" s="40"/>
      <c r="G23" s="40"/>
      <c r="H23" s="40"/>
      <c r="I23" s="40"/>
      <c r="J23" s="40"/>
      <c r="K23" s="40">
        <f>J22</f>
        <v>11960</v>
      </c>
      <c r="L23" s="40"/>
      <c r="M23" s="40">
        <f>L22</f>
        <v>47840</v>
      </c>
      <c r="N23" s="40"/>
      <c r="O23" s="44">
        <f>N22</f>
        <v>59800</v>
      </c>
      <c r="P23" s="37"/>
      <c r="Q23" s="37"/>
      <c r="R23" s="37"/>
      <c r="S23" s="37"/>
      <c r="T23" s="37"/>
      <c r="W23" s="40">
        <f>V22</f>
        <v>9568</v>
      </c>
      <c r="X23" s="40"/>
      <c r="Y23" s="40">
        <f>X22</f>
        <v>38272</v>
      </c>
      <c r="Z23" s="40"/>
      <c r="AA23" s="44">
        <f>Z22</f>
        <v>47840</v>
      </c>
    </row>
    <row r="24" spans="1:30">
      <c r="C24" s="39" t="s">
        <v>339</v>
      </c>
      <c r="D24" s="40"/>
      <c r="E24" s="40"/>
      <c r="F24" s="40"/>
      <c r="G24" s="40"/>
      <c r="H24" s="40"/>
      <c r="I24" s="40"/>
      <c r="J24" s="40"/>
      <c r="K24" s="40">
        <f>IF('Tableau simu'!B10="Oui",1,0)</f>
        <v>1</v>
      </c>
      <c r="L24" s="40"/>
      <c r="M24" s="40"/>
      <c r="N24" s="40"/>
      <c r="O24" s="43" t="s">
        <v>263</v>
      </c>
      <c r="P24" s="37"/>
      <c r="Q24" s="37"/>
      <c r="R24" s="37"/>
      <c r="S24" s="37"/>
      <c r="T24" s="37"/>
      <c r="W24" s="40">
        <f>IF('Tableau simu'!C10="Oui",1,0)</f>
        <v>1</v>
      </c>
      <c r="AA24" s="43" t="s">
        <v>263</v>
      </c>
    </row>
    <row r="25" spans="1:30">
      <c r="C25" s="37" t="s">
        <v>332</v>
      </c>
      <c r="D25" s="40"/>
      <c r="E25" s="40"/>
      <c r="F25" s="40"/>
      <c r="G25" s="40"/>
      <c r="H25" s="40"/>
      <c r="I25" s="40"/>
      <c r="J25" s="40"/>
      <c r="K25" s="40">
        <f>IF($B$9=0,0,$K$24*$B$9*$A$2)</f>
        <v>11960</v>
      </c>
      <c r="L25" s="37"/>
      <c r="M25" s="40">
        <f>IF($B$10=0,0,$K$24*$B$10*$A$2)</f>
        <v>47840</v>
      </c>
      <c r="N25" s="40"/>
      <c r="O25" s="44">
        <f>IF($B$11=0,0,$K$24*$B$11*$A$2)</f>
        <v>59800</v>
      </c>
      <c r="P25" s="40"/>
      <c r="Q25" s="37"/>
      <c r="R25" s="37"/>
      <c r="S25" s="37"/>
      <c r="T25" s="37"/>
      <c r="W25" s="40">
        <f>IF($B$9=0,0,$W$24*$B$9*$A$4)</f>
        <v>9568</v>
      </c>
      <c r="X25" s="40"/>
      <c r="Y25" s="40">
        <f>IF($B$10=0,0,$W$24*$B$10*$A$4)</f>
        <v>38272</v>
      </c>
      <c r="Z25" s="40"/>
      <c r="AA25" s="44">
        <f>IF($B$11=0,0,$W$24*$B$11*$A$4)</f>
        <v>47840</v>
      </c>
    </row>
    <row r="26" spans="1:30">
      <c r="C26" s="37" t="s">
        <v>333</v>
      </c>
      <c r="D26" s="40"/>
      <c r="E26" s="40"/>
      <c r="F26" s="40"/>
      <c r="G26" s="40"/>
      <c r="H26" s="40"/>
      <c r="I26" s="40"/>
      <c r="J26" s="40"/>
      <c r="K26" s="40"/>
      <c r="L26" s="40">
        <f>K25</f>
        <v>11960</v>
      </c>
      <c r="M26" s="40"/>
      <c r="N26" s="40">
        <f>M25</f>
        <v>47840</v>
      </c>
      <c r="O26" s="43"/>
      <c r="P26" s="41">
        <f>O25</f>
        <v>59800</v>
      </c>
      <c r="Q26" s="37"/>
      <c r="R26" s="37"/>
      <c r="S26" s="37"/>
      <c r="T26" s="37"/>
      <c r="X26" s="40">
        <f>W25</f>
        <v>9568</v>
      </c>
      <c r="Y26" s="40"/>
      <c r="Z26" s="40">
        <f>Y25</f>
        <v>38272</v>
      </c>
      <c r="AA26" s="43"/>
      <c r="AB26" s="41">
        <f>AA25</f>
        <v>47840</v>
      </c>
    </row>
    <row r="27" spans="1:30">
      <c r="C27" s="39" t="s">
        <v>340</v>
      </c>
      <c r="D27" s="40"/>
      <c r="E27" s="40"/>
      <c r="F27" s="40"/>
      <c r="G27" s="40"/>
      <c r="H27" s="40"/>
      <c r="I27" s="40"/>
      <c r="J27" s="40"/>
      <c r="K27" s="40"/>
      <c r="L27" s="40">
        <f>IF('Tableau simu'!B11="Oui",1,0)</f>
        <v>1</v>
      </c>
      <c r="M27" s="40"/>
      <c r="N27" s="40"/>
      <c r="O27" s="43"/>
      <c r="P27" s="40" t="s">
        <v>263</v>
      </c>
      <c r="Q27" s="37"/>
      <c r="R27" s="37"/>
      <c r="S27" s="37"/>
      <c r="T27" s="37"/>
      <c r="X27" s="40">
        <f>IF('Tableau simu'!C11="Oui",1,0)</f>
        <v>1</v>
      </c>
      <c r="AB27" s="40" t="s">
        <v>263</v>
      </c>
    </row>
    <row r="28" spans="1:30">
      <c r="C28" s="37" t="s">
        <v>332</v>
      </c>
      <c r="D28" s="40"/>
      <c r="E28" s="40"/>
      <c r="F28" s="40"/>
      <c r="G28" s="40"/>
      <c r="H28" s="40"/>
      <c r="I28" s="40"/>
      <c r="J28" s="40"/>
      <c r="K28" s="40"/>
      <c r="L28" s="40">
        <f>IF($B$9=0,0,$L$27*$B$9*$A$2)</f>
        <v>11960</v>
      </c>
      <c r="M28" s="37"/>
      <c r="N28" s="40">
        <f>IF($B$10=0,0,$L$27*$B$10*$A$2)</f>
        <v>47840</v>
      </c>
      <c r="O28" s="43"/>
      <c r="P28" s="41">
        <f>IF($B$11=0,0,$L$27*$B$11*$A$2)</f>
        <v>59800</v>
      </c>
      <c r="Q28" s="40"/>
      <c r="R28" s="37"/>
      <c r="S28" s="37"/>
      <c r="T28" s="37"/>
      <c r="X28" s="40">
        <f>IF($B$9=0,0,$X$27*$B$9*$A$4)</f>
        <v>9568</v>
      </c>
      <c r="Y28" s="40"/>
      <c r="Z28" s="40">
        <f>IF($B$10=0,0,$X$27*$B$10*$A$4)</f>
        <v>38272</v>
      </c>
      <c r="AA28" s="43"/>
      <c r="AB28" s="41">
        <f>IF($B$11=0,0,$X$27*$B$11*$A$4)</f>
        <v>47840</v>
      </c>
    </row>
    <row r="29" spans="1:30">
      <c r="A29" s="19"/>
      <c r="C29" s="37" t="s">
        <v>333</v>
      </c>
      <c r="D29" s="40"/>
      <c r="E29" s="40"/>
      <c r="F29" s="40"/>
      <c r="G29" s="40"/>
      <c r="H29" s="40"/>
      <c r="I29" s="40"/>
      <c r="J29" s="40"/>
      <c r="K29" s="40"/>
      <c r="L29" s="40"/>
      <c r="M29" s="40">
        <f>L28</f>
        <v>11960</v>
      </c>
      <c r="N29" s="40"/>
      <c r="O29" s="43">
        <f>N28</f>
        <v>47840</v>
      </c>
      <c r="P29" s="40"/>
      <c r="Q29" s="41">
        <f>P28</f>
        <v>59800</v>
      </c>
      <c r="R29" s="37"/>
      <c r="S29" s="37"/>
      <c r="T29" s="37"/>
      <c r="Y29" s="40">
        <f>X28</f>
        <v>9568</v>
      </c>
      <c r="Z29" s="40"/>
      <c r="AA29" s="43">
        <f>Z28</f>
        <v>38272</v>
      </c>
      <c r="AB29" s="40"/>
      <c r="AC29" s="41">
        <f>AB28</f>
        <v>47840</v>
      </c>
    </row>
    <row r="30" spans="1:30">
      <c r="C30" s="39" t="s">
        <v>341</v>
      </c>
      <c r="D30" s="40"/>
      <c r="E30" s="40"/>
      <c r="F30" s="40"/>
      <c r="G30" s="40"/>
      <c r="H30" s="40"/>
      <c r="I30" s="40"/>
      <c r="J30" s="40"/>
      <c r="K30" s="40"/>
      <c r="L30" s="40"/>
      <c r="M30" s="40">
        <f>IF('Tableau simu'!B12="Oui",1,0)</f>
        <v>1</v>
      </c>
      <c r="N30" s="40"/>
      <c r="O30" s="43"/>
      <c r="P30" s="37"/>
      <c r="Q30" s="40" t="s">
        <v>263</v>
      </c>
      <c r="R30" s="37"/>
      <c r="S30" s="37"/>
      <c r="T30" s="37"/>
      <c r="Y30" s="40">
        <f>IF('Tableau simu'!C12="Oui",1,0)</f>
        <v>1</v>
      </c>
      <c r="AC30" s="40" t="s">
        <v>263</v>
      </c>
    </row>
    <row r="31" spans="1:30">
      <c r="C31" s="37" t="s">
        <v>332</v>
      </c>
      <c r="D31" s="40"/>
      <c r="E31" s="40"/>
      <c r="F31" s="40"/>
      <c r="G31" s="40"/>
      <c r="H31" s="40"/>
      <c r="I31" s="40"/>
      <c r="J31" s="40"/>
      <c r="K31" s="40"/>
      <c r="L31" s="40"/>
      <c r="M31" s="40">
        <f>IF($B$9=0,0,$M$30*$B$9*$A$2)</f>
        <v>11960</v>
      </c>
      <c r="N31" s="37"/>
      <c r="O31" s="43">
        <f>IF($B$10=0,0,$M$30*$B$10*$A$2)</f>
        <v>47840</v>
      </c>
      <c r="P31" s="40"/>
      <c r="Q31" s="41">
        <f>IF($B$11=0,0,$M$30*$B$11*$A$2)</f>
        <v>59800</v>
      </c>
      <c r="R31" s="40"/>
      <c r="S31" s="37"/>
      <c r="T31" s="37"/>
      <c r="Y31" s="40">
        <f>IF($B$9=0,0,$Y$30*$B$9*$A$4)</f>
        <v>9568</v>
      </c>
      <c r="Z31" s="40"/>
      <c r="AA31" s="43">
        <f>IF($B$10=0,0,$Y$30*$B$10*$A$4)</f>
        <v>38272</v>
      </c>
      <c r="AB31" s="40"/>
      <c r="AC31" s="41">
        <f>IF($B$11=0,0,$Y$30*$B$11*$A$4)</f>
        <v>47840</v>
      </c>
    </row>
    <row r="32" spans="1:30">
      <c r="C32" s="37" t="s">
        <v>333</v>
      </c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>
        <f>M31</f>
        <v>11960</v>
      </c>
      <c r="O32" s="43"/>
      <c r="P32" s="40">
        <f>O31</f>
        <v>47840</v>
      </c>
      <c r="Q32" s="40"/>
      <c r="R32" s="41">
        <f>Q31</f>
        <v>59800</v>
      </c>
      <c r="S32" s="37"/>
      <c r="T32" s="37"/>
      <c r="Z32" s="40">
        <f>Y31</f>
        <v>9568</v>
      </c>
      <c r="AA32" s="43"/>
      <c r="AB32" s="40">
        <f>AA31</f>
        <v>38272</v>
      </c>
      <c r="AC32" s="40"/>
      <c r="AD32" s="41">
        <f>AC31</f>
        <v>47840</v>
      </c>
    </row>
    <row r="33" spans="3:35">
      <c r="C33" s="39" t="s">
        <v>342</v>
      </c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>
        <f>IF('Tableau simu'!B13="Oui",1,0)</f>
        <v>1</v>
      </c>
      <c r="O33" s="43"/>
      <c r="P33" s="37"/>
      <c r="Q33" s="37"/>
      <c r="R33" s="40" t="s">
        <v>263</v>
      </c>
      <c r="S33" s="37"/>
      <c r="T33" s="37"/>
      <c r="Z33" s="40">
        <f>IF('Tableau simu'!C13="Oui",1,0)</f>
        <v>1</v>
      </c>
      <c r="AD33" s="40" t="s">
        <v>263</v>
      </c>
    </row>
    <row r="34" spans="3:35">
      <c r="C34" s="37" t="s">
        <v>332</v>
      </c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>
        <f>IF($B$9=0,0,$N$33*$B$9*$A$2)</f>
        <v>11960</v>
      </c>
      <c r="O34" s="42"/>
      <c r="P34" s="40">
        <f>IF($B$10=0,0,$N$33*$B$10*$A$2)</f>
        <v>47840</v>
      </c>
      <c r="Q34" s="40"/>
      <c r="R34" s="41">
        <f>IF($B$11=0,0,$N$33*$B$11*$A$2)</f>
        <v>59800</v>
      </c>
      <c r="S34" s="40"/>
      <c r="T34" s="37"/>
      <c r="Z34" s="40">
        <f>IF($B$9=0,0,$Z$33*$B$9*$A$4)</f>
        <v>9568</v>
      </c>
      <c r="AA34" s="43"/>
      <c r="AB34" s="40">
        <f>IF($B$10=0,0,$Z$33*$B$10*$A$4)</f>
        <v>38272</v>
      </c>
      <c r="AC34" s="40"/>
      <c r="AD34" s="41">
        <f>IF($B$11=0,0,$Z$33*$B$11*$A$4)</f>
        <v>47840</v>
      </c>
    </row>
    <row r="35" spans="3:35">
      <c r="C35" s="37" t="s">
        <v>333</v>
      </c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3">
        <f>N34</f>
        <v>11960</v>
      </c>
      <c r="P35" s="40"/>
      <c r="Q35" s="40">
        <f>P34</f>
        <v>47840</v>
      </c>
      <c r="R35" s="40"/>
      <c r="S35" s="41">
        <f>R34</f>
        <v>59800</v>
      </c>
      <c r="T35" s="37"/>
      <c r="AA35" s="43">
        <f>Z34</f>
        <v>9568</v>
      </c>
      <c r="AB35" s="40"/>
      <c r="AC35" s="40">
        <f>AB34</f>
        <v>38272</v>
      </c>
      <c r="AD35" s="40"/>
      <c r="AE35" s="41">
        <f>AD34</f>
        <v>47840</v>
      </c>
    </row>
    <row r="36" spans="3:35">
      <c r="C36" s="39" t="s">
        <v>343</v>
      </c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3">
        <f>IF('Tableau simu'!B14="Oui",1,0)</f>
        <v>1</v>
      </c>
      <c r="P36" s="37"/>
      <c r="Q36" s="37"/>
      <c r="R36" s="37"/>
      <c r="S36" s="40" t="s">
        <v>263</v>
      </c>
      <c r="T36" s="37"/>
      <c r="AA36" s="43">
        <f>IF('Tableau simu'!C14="Oui",1,0)</f>
        <v>1</v>
      </c>
      <c r="AE36" s="40" t="s">
        <v>263</v>
      </c>
    </row>
    <row r="37" spans="3:35">
      <c r="C37" s="37" t="s">
        <v>332</v>
      </c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3">
        <f>IF($B$9=0,0,$O$36*$B$9*$A$2)</f>
        <v>11960</v>
      </c>
      <c r="P37" s="37"/>
      <c r="Q37" s="40">
        <f>IF($B$10=0,0,$O$36*$B$10*$A$2)</f>
        <v>47840</v>
      </c>
      <c r="R37" s="40"/>
      <c r="S37" s="41">
        <f>IF($B$11=0,0,$O$36*$B$11*$A$2)</f>
        <v>59800</v>
      </c>
      <c r="T37" s="40"/>
      <c r="AA37" s="43">
        <f>IF($B$9=0,0,$AA$36*$B$9*$A$4)</f>
        <v>9568</v>
      </c>
      <c r="AB37" s="40"/>
      <c r="AC37" s="40">
        <f>IF($B$10=0,0,$AA$36*$B$10*$A$4)</f>
        <v>38272</v>
      </c>
      <c r="AD37" s="40"/>
      <c r="AE37" s="41">
        <f>IF($B$11=0,0,$AA$36*$B$11*$A$4)</f>
        <v>47840</v>
      </c>
    </row>
    <row r="38" spans="3:35">
      <c r="C38" s="37" t="s">
        <v>333</v>
      </c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3"/>
      <c r="P38" s="40">
        <f>O37</f>
        <v>11960</v>
      </c>
      <c r="Q38" s="40"/>
      <c r="R38" s="40">
        <f>Q37</f>
        <v>47840</v>
      </c>
      <c r="S38" s="40"/>
      <c r="T38" s="41">
        <f>S37</f>
        <v>59800</v>
      </c>
      <c r="AB38" s="40">
        <f>AA37</f>
        <v>9568</v>
      </c>
      <c r="AC38" s="40"/>
      <c r="AD38" s="40">
        <f>AC37</f>
        <v>38272</v>
      </c>
      <c r="AE38" s="40"/>
      <c r="AF38" s="41">
        <f>AE37</f>
        <v>47840</v>
      </c>
    </row>
    <row r="39" spans="3:35">
      <c r="C39" s="37" t="s">
        <v>510</v>
      </c>
      <c r="D39" s="28">
        <f>D4+D7+D10+D13+D16+D19+D22+D25+D28+D31+D34+D37</f>
        <v>0</v>
      </c>
      <c r="E39" s="28">
        <f t="shared" ref="E39:AG39" si="0">E4+E7+E10+E13+E16+E19+E22+E25+E28+E31+E34+E37</f>
        <v>0</v>
      </c>
      <c r="F39" s="28">
        <f t="shared" si="0"/>
        <v>11960</v>
      </c>
      <c r="G39" s="28">
        <f t="shared" si="0"/>
        <v>11960</v>
      </c>
      <c r="H39" s="28">
        <f t="shared" si="0"/>
        <v>59800</v>
      </c>
      <c r="I39" s="28">
        <f t="shared" si="0"/>
        <v>59800</v>
      </c>
      <c r="J39" s="28">
        <f t="shared" si="0"/>
        <v>119600</v>
      </c>
      <c r="K39" s="28">
        <f t="shared" si="0"/>
        <v>119600</v>
      </c>
      <c r="L39" s="28">
        <f t="shared" si="0"/>
        <v>119600</v>
      </c>
      <c r="M39" s="28">
        <f t="shared" si="0"/>
        <v>119600</v>
      </c>
      <c r="N39" s="28">
        <f t="shared" si="0"/>
        <v>119600</v>
      </c>
      <c r="O39" s="86">
        <f t="shared" si="0"/>
        <v>119600</v>
      </c>
      <c r="P39" s="28">
        <f t="shared" si="0"/>
        <v>117208</v>
      </c>
      <c r="Q39" s="28">
        <f t="shared" si="0"/>
        <v>117208</v>
      </c>
      <c r="R39" s="28">
        <f t="shared" si="0"/>
        <v>107640</v>
      </c>
      <c r="S39" s="28">
        <f t="shared" si="0"/>
        <v>107640</v>
      </c>
      <c r="T39" s="28">
        <f t="shared" si="0"/>
        <v>95680</v>
      </c>
      <c r="U39" s="28">
        <f t="shared" si="0"/>
        <v>95680</v>
      </c>
      <c r="V39" s="28">
        <f t="shared" si="0"/>
        <v>95680</v>
      </c>
      <c r="W39" s="28">
        <f t="shared" si="0"/>
        <v>95680</v>
      </c>
      <c r="X39" s="28">
        <f t="shared" si="0"/>
        <v>95680</v>
      </c>
      <c r="Y39" s="28">
        <f t="shared" si="0"/>
        <v>95680</v>
      </c>
      <c r="Z39" s="28">
        <f t="shared" si="0"/>
        <v>95680</v>
      </c>
      <c r="AA39" s="86">
        <f t="shared" si="0"/>
        <v>95680</v>
      </c>
      <c r="AB39" s="28">
        <f t="shared" si="0"/>
        <v>86112</v>
      </c>
      <c r="AC39" s="28">
        <f t="shared" si="0"/>
        <v>86112</v>
      </c>
      <c r="AD39" s="28">
        <f t="shared" si="0"/>
        <v>47840</v>
      </c>
      <c r="AE39" s="28">
        <f t="shared" si="0"/>
        <v>47840</v>
      </c>
      <c r="AF39" s="28">
        <f t="shared" si="0"/>
        <v>0</v>
      </c>
      <c r="AG39" s="28">
        <f t="shared" si="0"/>
        <v>0</v>
      </c>
    </row>
    <row r="40" spans="3:35">
      <c r="C40" s="37" t="s">
        <v>344</v>
      </c>
      <c r="D40" s="28">
        <f>D5+D8+D11+D14+D17+D20+D23+D26+D29+D32+D35+D38</f>
        <v>0</v>
      </c>
      <c r="E40" s="28">
        <f t="shared" ref="E40:AI40" si="1">E5+E8+E11+E14+E17+E20+E23+E26+E29+E32+E35+E38</f>
        <v>0</v>
      </c>
      <c r="F40" s="28">
        <f t="shared" si="1"/>
        <v>0</v>
      </c>
      <c r="G40" s="28">
        <f t="shared" si="1"/>
        <v>11960</v>
      </c>
      <c r="H40" s="28">
        <f t="shared" si="1"/>
        <v>11960</v>
      </c>
      <c r="I40" s="28">
        <f t="shared" si="1"/>
        <v>59800</v>
      </c>
      <c r="J40" s="28">
        <f t="shared" si="1"/>
        <v>59800</v>
      </c>
      <c r="K40" s="28">
        <f t="shared" si="1"/>
        <v>119600</v>
      </c>
      <c r="L40" s="28">
        <f t="shared" si="1"/>
        <v>119600</v>
      </c>
      <c r="M40" s="28">
        <f t="shared" si="1"/>
        <v>119600</v>
      </c>
      <c r="N40" s="28">
        <f t="shared" si="1"/>
        <v>119600</v>
      </c>
      <c r="O40" s="86">
        <f t="shared" si="1"/>
        <v>119600</v>
      </c>
      <c r="P40" s="28">
        <f t="shared" si="1"/>
        <v>119600</v>
      </c>
      <c r="Q40" s="28">
        <f t="shared" si="1"/>
        <v>117208</v>
      </c>
      <c r="R40" s="28">
        <f t="shared" si="1"/>
        <v>117208</v>
      </c>
      <c r="S40" s="28">
        <f t="shared" si="1"/>
        <v>107640</v>
      </c>
      <c r="T40" s="28">
        <f t="shared" si="1"/>
        <v>107640</v>
      </c>
      <c r="U40" s="28">
        <f t="shared" si="1"/>
        <v>95680</v>
      </c>
      <c r="V40" s="28">
        <f t="shared" si="1"/>
        <v>95680</v>
      </c>
      <c r="W40" s="28">
        <f t="shared" si="1"/>
        <v>95680</v>
      </c>
      <c r="X40" s="28">
        <f t="shared" si="1"/>
        <v>95680</v>
      </c>
      <c r="Y40" s="28">
        <f t="shared" si="1"/>
        <v>95680</v>
      </c>
      <c r="Z40" s="28">
        <f t="shared" si="1"/>
        <v>95680</v>
      </c>
      <c r="AA40" s="86">
        <f t="shared" si="1"/>
        <v>95680</v>
      </c>
      <c r="AB40" s="28">
        <f t="shared" si="1"/>
        <v>95680</v>
      </c>
      <c r="AC40" s="28">
        <f t="shared" si="1"/>
        <v>86112</v>
      </c>
      <c r="AD40" s="28">
        <f t="shared" si="1"/>
        <v>86112</v>
      </c>
      <c r="AE40" s="28">
        <f t="shared" si="1"/>
        <v>47840</v>
      </c>
      <c r="AF40" s="28">
        <f t="shared" si="1"/>
        <v>47840</v>
      </c>
      <c r="AG40" s="28">
        <f t="shared" si="1"/>
        <v>0</v>
      </c>
      <c r="AH40" s="28">
        <f t="shared" si="1"/>
        <v>0</v>
      </c>
      <c r="AI40" s="28">
        <f t="shared" si="1"/>
        <v>0</v>
      </c>
    </row>
    <row r="41" spans="3:35">
      <c r="C41" s="1" t="s">
        <v>424</v>
      </c>
    </row>
    <row r="42" spans="3:35">
      <c r="C42" s="19" t="s">
        <v>420</v>
      </c>
      <c r="P42" s="129">
        <f>IF('Tableau simu'!D3="Oui",1,0)</f>
        <v>0</v>
      </c>
      <c r="U42" s="40" t="s">
        <v>263</v>
      </c>
    </row>
    <row r="43" spans="3:35">
      <c r="C43" s="37" t="s">
        <v>422</v>
      </c>
      <c r="P43" s="41">
        <f>IF($B$9=0,0,$P$42*$B$9*$A$6)</f>
        <v>0</v>
      </c>
      <c r="Q43" s="28"/>
      <c r="R43" s="28"/>
      <c r="S43" s="61">
        <f>IF($B$10=0,0,$P$42*$B$10*$A$6)</f>
        <v>0</v>
      </c>
      <c r="T43" s="28"/>
      <c r="U43" s="41">
        <f>IF($B$11=0,0,$P$42*$B$11*$A$6)</f>
        <v>0</v>
      </c>
      <c r="V43" s="28"/>
      <c r="W43" s="28"/>
      <c r="X43" s="28"/>
      <c r="Y43" s="28"/>
      <c r="Z43" s="28"/>
      <c r="AA43" s="86"/>
      <c r="AB43" s="28"/>
      <c r="AC43" s="28"/>
      <c r="AD43" s="28"/>
    </row>
    <row r="44" spans="3:35" ht="12.75" customHeight="1">
      <c r="C44" s="37" t="s">
        <v>333</v>
      </c>
      <c r="P44" s="28"/>
      <c r="Q44" s="28">
        <f>P43</f>
        <v>0</v>
      </c>
      <c r="R44" s="28"/>
      <c r="S44" s="28"/>
      <c r="T44" s="28">
        <f>S43</f>
        <v>0</v>
      </c>
      <c r="U44" s="28"/>
      <c r="V44" s="28">
        <f>U43</f>
        <v>0</v>
      </c>
      <c r="W44" s="28"/>
      <c r="X44" s="28"/>
      <c r="Y44" s="28"/>
      <c r="Z44" s="28"/>
      <c r="AA44" s="86"/>
      <c r="AB44" s="28"/>
      <c r="AC44" s="28"/>
      <c r="AD44" s="28"/>
    </row>
    <row r="45" spans="3:35" ht="12.75" customHeight="1">
      <c r="C45" s="19" t="s">
        <v>421</v>
      </c>
      <c r="H45" s="62"/>
      <c r="I45" s="62"/>
      <c r="J45" s="62"/>
      <c r="K45" s="62"/>
      <c r="L45" s="62"/>
      <c r="M45" s="62"/>
      <c r="N45" s="62"/>
      <c r="O45" s="63"/>
      <c r="P45" s="28"/>
      <c r="Q45" s="129">
        <f>IF('Tableau simu'!D4="Oui",1,0)</f>
        <v>1</v>
      </c>
      <c r="R45" s="28"/>
      <c r="S45" s="28"/>
      <c r="T45" s="28"/>
      <c r="U45" s="28"/>
      <c r="V45" s="41" t="s">
        <v>263</v>
      </c>
      <c r="W45" s="28"/>
      <c r="X45" s="28"/>
      <c r="Y45" s="28"/>
      <c r="Z45" s="28"/>
      <c r="AA45" s="86"/>
      <c r="AB45" s="28"/>
      <c r="AC45" s="28"/>
      <c r="AD45" s="28"/>
    </row>
    <row r="46" spans="3:35" ht="12.75" customHeight="1">
      <c r="C46" s="37" t="s">
        <v>332</v>
      </c>
      <c r="H46" s="62"/>
      <c r="I46" s="62"/>
      <c r="J46" s="62"/>
      <c r="K46" s="62"/>
      <c r="L46" s="62"/>
      <c r="M46" s="62"/>
      <c r="N46" s="62"/>
      <c r="O46" s="63"/>
      <c r="P46" s="28"/>
      <c r="Q46" s="41">
        <f>IF($B$9=0,0,$Q$45*$B$9*$A$6)</f>
        <v>14352</v>
      </c>
      <c r="R46" s="28"/>
      <c r="S46" s="28"/>
      <c r="T46" s="61">
        <f>IF($B$10=0,0,$Q$45*$B$10*$A$6)</f>
        <v>57408</v>
      </c>
      <c r="U46" s="28"/>
      <c r="V46" s="41">
        <f>IF($B$11=0,0,$Q$45*$B$11*$A$6)</f>
        <v>71760</v>
      </c>
      <c r="W46" s="28"/>
      <c r="X46" s="28"/>
      <c r="Y46" s="28"/>
      <c r="Z46" s="28"/>
      <c r="AA46" s="86"/>
      <c r="AB46" s="28"/>
      <c r="AC46" s="28"/>
      <c r="AD46" s="28"/>
    </row>
    <row r="47" spans="3:35">
      <c r="C47" s="37" t="s">
        <v>333</v>
      </c>
      <c r="P47" s="28"/>
      <c r="Q47" s="28"/>
      <c r="R47" s="28">
        <f>Q46</f>
        <v>14352</v>
      </c>
      <c r="S47" s="28"/>
      <c r="T47" s="28"/>
      <c r="U47" s="28">
        <f>T46</f>
        <v>57408</v>
      </c>
      <c r="V47" s="28"/>
      <c r="W47" s="28">
        <f>V46</f>
        <v>71760</v>
      </c>
      <c r="X47" s="28"/>
      <c r="Y47" s="28"/>
      <c r="Z47" s="28"/>
      <c r="AA47" s="86"/>
      <c r="AB47" s="28"/>
      <c r="AC47" s="28"/>
      <c r="AD47" s="28"/>
    </row>
    <row r="48" spans="3:35">
      <c r="C48" s="39" t="s">
        <v>334</v>
      </c>
      <c r="P48" s="28"/>
      <c r="Q48" s="28"/>
      <c r="R48" s="129">
        <f>IF('Tableau simu'!D5="Oui",1,0)</f>
        <v>0</v>
      </c>
      <c r="S48" s="28"/>
      <c r="T48" s="28"/>
      <c r="U48" s="28"/>
      <c r="V48" s="28"/>
      <c r="W48" s="41" t="s">
        <v>263</v>
      </c>
      <c r="X48" s="28"/>
      <c r="Y48" s="28"/>
      <c r="Z48" s="28"/>
      <c r="AA48" s="86"/>
      <c r="AB48" s="28"/>
      <c r="AC48" s="28"/>
      <c r="AD48" s="28"/>
    </row>
    <row r="49" spans="3:30">
      <c r="C49" s="37" t="s">
        <v>332</v>
      </c>
      <c r="P49" s="28"/>
      <c r="Q49" s="28"/>
      <c r="R49" s="41">
        <f>IF($B$9=0,0,$R$48*$B$9*$A$6)</f>
        <v>0</v>
      </c>
      <c r="S49" s="28"/>
      <c r="U49" s="61">
        <f>IF($B$10=0,0,$R$48*$B$10*$A$6)</f>
        <v>0</v>
      </c>
      <c r="W49" s="41">
        <f>IF($B$11=0,0,$R$48*$B$11*$A$6)</f>
        <v>0</v>
      </c>
      <c r="X49" s="28"/>
      <c r="Y49" s="28"/>
      <c r="Z49" s="28"/>
      <c r="AA49" s="86"/>
      <c r="AB49" s="28"/>
      <c r="AC49" s="28"/>
      <c r="AD49" s="28"/>
    </row>
    <row r="50" spans="3:30">
      <c r="C50" s="37" t="s">
        <v>333</v>
      </c>
      <c r="P50" s="28"/>
      <c r="Q50" s="28"/>
      <c r="R50" s="28"/>
      <c r="S50" s="28">
        <f>R49</f>
        <v>0</v>
      </c>
      <c r="T50" s="28"/>
      <c r="U50" s="28"/>
      <c r="V50" s="28">
        <f>U49</f>
        <v>0</v>
      </c>
      <c r="W50" s="28"/>
      <c r="X50" s="28">
        <f>W49</f>
        <v>0</v>
      </c>
      <c r="Y50" s="28"/>
      <c r="Z50" s="28"/>
      <c r="AA50" s="86"/>
      <c r="AB50" s="28"/>
      <c r="AC50" s="28"/>
      <c r="AD50" s="28"/>
    </row>
    <row r="51" spans="3:30">
      <c r="C51" s="39" t="s">
        <v>335</v>
      </c>
      <c r="P51" s="28"/>
      <c r="Q51" s="28"/>
      <c r="R51" s="28"/>
      <c r="S51" s="129">
        <f>IF('Tableau simu'!D6="Oui",1,0)</f>
        <v>1</v>
      </c>
      <c r="T51" s="28"/>
      <c r="U51" s="28"/>
      <c r="V51" s="28"/>
      <c r="W51" s="28"/>
      <c r="X51" s="41" t="s">
        <v>263</v>
      </c>
      <c r="Y51" s="28"/>
      <c r="Z51" s="28"/>
      <c r="AA51" s="86"/>
      <c r="AB51" s="28"/>
      <c r="AC51" s="28"/>
      <c r="AD51" s="28"/>
    </row>
    <row r="52" spans="3:30">
      <c r="C52" s="37" t="s">
        <v>332</v>
      </c>
      <c r="P52" s="28"/>
      <c r="Q52" s="28"/>
      <c r="R52" s="28"/>
      <c r="S52" s="41">
        <f>IF($B$9=0,0,$S$51*$B$9*$A$6)</f>
        <v>14352</v>
      </c>
      <c r="T52" s="28"/>
      <c r="U52" s="28"/>
      <c r="V52" s="61">
        <f>IF($B$10=0,0,$S$51*$B$10*$A$6)</f>
        <v>57408</v>
      </c>
      <c r="W52" s="28"/>
      <c r="X52" s="41">
        <f>IF($B$11=0,0,$S$51*$B$11*$A$6)</f>
        <v>71760</v>
      </c>
      <c r="Y52" s="28"/>
      <c r="Z52" s="28"/>
      <c r="AA52" s="86"/>
      <c r="AB52" s="28"/>
      <c r="AC52" s="28"/>
      <c r="AD52" s="28"/>
    </row>
    <row r="53" spans="3:30">
      <c r="C53" s="37" t="s">
        <v>333</v>
      </c>
      <c r="P53" s="28"/>
      <c r="Q53" s="28"/>
      <c r="R53" s="28"/>
      <c r="S53" s="28"/>
      <c r="T53" s="28">
        <f>S52</f>
        <v>14352</v>
      </c>
      <c r="U53" s="28"/>
      <c r="V53" s="28"/>
      <c r="W53" s="28">
        <f>V52</f>
        <v>57408</v>
      </c>
      <c r="X53" s="28"/>
      <c r="Y53" s="28">
        <f>X52</f>
        <v>71760</v>
      </c>
      <c r="Z53" s="28"/>
      <c r="AA53" s="86"/>
      <c r="AB53" s="28"/>
      <c r="AC53" s="28"/>
      <c r="AD53" s="28"/>
    </row>
    <row r="54" spans="3:30">
      <c r="C54" s="39" t="s">
        <v>336</v>
      </c>
      <c r="P54" s="28"/>
      <c r="Q54" s="28"/>
      <c r="R54" s="28"/>
      <c r="S54" s="28"/>
      <c r="T54" s="129">
        <f>IF('Tableau simu'!D7="Oui",1,0)</f>
        <v>0</v>
      </c>
      <c r="U54" s="28"/>
      <c r="V54" s="28"/>
      <c r="W54" s="28"/>
      <c r="X54" s="28"/>
      <c r="Y54" s="41" t="s">
        <v>263</v>
      </c>
      <c r="Z54" s="28"/>
      <c r="AA54" s="86"/>
      <c r="AB54" s="28"/>
      <c r="AC54" s="28"/>
      <c r="AD54" s="28"/>
    </row>
    <row r="55" spans="3:30">
      <c r="C55" s="37" t="s">
        <v>332</v>
      </c>
      <c r="P55" s="28"/>
      <c r="Q55" s="28"/>
      <c r="R55" s="28"/>
      <c r="S55" s="28"/>
      <c r="T55" s="41">
        <f>IF($B$9=0,0,$T$54*$B$9*$A$6)</f>
        <v>0</v>
      </c>
      <c r="U55" s="28"/>
      <c r="W55" s="61">
        <f>IF($B$10=0,0,$T$54*$B$10*$A$6)</f>
        <v>0</v>
      </c>
      <c r="Y55" s="41">
        <f>IF($B$11=0,0,$T$54*$B$11*$A$6)</f>
        <v>0</v>
      </c>
      <c r="Z55" s="28"/>
      <c r="AA55" s="86"/>
      <c r="AB55" s="28"/>
      <c r="AC55" s="28"/>
      <c r="AD55" s="28"/>
    </row>
    <row r="56" spans="3:30">
      <c r="C56" s="37" t="s">
        <v>333</v>
      </c>
      <c r="P56" s="28"/>
      <c r="Q56" s="28"/>
      <c r="R56" s="28"/>
      <c r="S56" s="28"/>
      <c r="T56" s="28"/>
      <c r="U56" s="28">
        <f>T55</f>
        <v>0</v>
      </c>
      <c r="V56" s="28"/>
      <c r="W56" s="28"/>
      <c r="X56" s="28">
        <f>W55</f>
        <v>0</v>
      </c>
      <c r="Y56" s="28"/>
      <c r="Z56" s="28">
        <f>Y55</f>
        <v>0</v>
      </c>
      <c r="AA56" s="86"/>
      <c r="AB56" s="28"/>
      <c r="AC56" s="28"/>
      <c r="AD56" s="28"/>
    </row>
    <row r="57" spans="3:30">
      <c r="C57" s="39" t="s">
        <v>337</v>
      </c>
      <c r="P57" s="28"/>
      <c r="Q57" s="28"/>
      <c r="R57" s="28"/>
      <c r="S57" s="28"/>
      <c r="T57" s="28"/>
      <c r="U57" s="129">
        <f>IF('Tableau simu'!D8="Oui",1,0)</f>
        <v>1</v>
      </c>
      <c r="V57" s="28"/>
      <c r="W57" s="28"/>
      <c r="X57" s="28"/>
      <c r="Y57" s="28"/>
      <c r="Z57" s="41" t="s">
        <v>263</v>
      </c>
      <c r="AA57" s="86"/>
      <c r="AB57" s="28"/>
      <c r="AC57" s="28"/>
      <c r="AD57" s="28"/>
    </row>
    <row r="58" spans="3:30">
      <c r="C58" s="37" t="s">
        <v>332</v>
      </c>
      <c r="P58" s="28"/>
      <c r="Q58" s="28"/>
      <c r="R58" s="28"/>
      <c r="S58" s="28"/>
      <c r="T58" s="28"/>
      <c r="U58" s="41">
        <f>IF($B$9=0,0,$U$57*$B$9*$A$6)</f>
        <v>14352</v>
      </c>
      <c r="V58" s="28"/>
      <c r="W58" s="28"/>
      <c r="X58" s="61">
        <f>IF($B$10=0,0,$U$57*$B$10*$A$6)</f>
        <v>57408</v>
      </c>
      <c r="Y58" s="28"/>
      <c r="Z58" s="41">
        <f>IF($B$11=0,0,$U$57*$B$11*$A$6)</f>
        <v>71760</v>
      </c>
      <c r="AA58" s="86"/>
      <c r="AB58" s="28"/>
      <c r="AC58" s="28"/>
      <c r="AD58" s="28"/>
    </row>
    <row r="59" spans="3:30">
      <c r="C59" s="37" t="s">
        <v>333</v>
      </c>
      <c r="P59" s="28"/>
      <c r="Q59" s="28"/>
      <c r="R59" s="28"/>
      <c r="S59" s="28"/>
      <c r="T59" s="28"/>
      <c r="U59" s="28"/>
      <c r="V59" s="28">
        <f>U58</f>
        <v>14352</v>
      </c>
      <c r="W59" s="28"/>
      <c r="X59" s="28"/>
      <c r="Y59" s="28">
        <f>X58</f>
        <v>57408</v>
      </c>
      <c r="Z59" s="28"/>
      <c r="AA59" s="86">
        <f>Z58</f>
        <v>71760</v>
      </c>
      <c r="AB59" s="28"/>
      <c r="AC59" s="28"/>
      <c r="AD59" s="28"/>
    </row>
    <row r="60" spans="3:30">
      <c r="C60" s="39" t="s">
        <v>338</v>
      </c>
      <c r="P60" s="28"/>
      <c r="Q60" s="28"/>
      <c r="R60" s="28"/>
      <c r="S60" s="28"/>
      <c r="T60" s="28"/>
      <c r="U60" s="28"/>
      <c r="V60" s="129">
        <f>IF('Tableau simu'!D9="Oui",1,0)</f>
        <v>0</v>
      </c>
      <c r="W60" s="28"/>
      <c r="X60" s="28"/>
      <c r="Y60" s="28"/>
      <c r="Z60" s="28"/>
      <c r="AA60" s="44" t="s">
        <v>263</v>
      </c>
      <c r="AB60" s="28"/>
      <c r="AC60" s="28"/>
      <c r="AD60" s="28"/>
    </row>
    <row r="61" spans="3:30">
      <c r="C61" s="37" t="s">
        <v>332</v>
      </c>
      <c r="P61" s="28"/>
      <c r="Q61" s="28"/>
      <c r="R61" s="28"/>
      <c r="S61" s="28"/>
      <c r="T61" s="28"/>
      <c r="U61" s="28"/>
      <c r="V61" s="41">
        <f>IF($B$9=0,0,$V$60*$B$9*$A$6)</f>
        <v>0</v>
      </c>
      <c r="W61" s="28"/>
      <c r="Y61" s="61">
        <f>IF($B$10=0,0,$V$60*$B$10*$A$6)</f>
        <v>0</v>
      </c>
      <c r="AA61" s="44">
        <f>IF($B$11=0,0,$V$60*$B$11*$A$6)</f>
        <v>0</v>
      </c>
      <c r="AB61" s="28"/>
      <c r="AC61" s="28"/>
      <c r="AD61" s="28"/>
    </row>
    <row r="62" spans="3:30">
      <c r="C62" s="37" t="s">
        <v>333</v>
      </c>
      <c r="P62" s="28"/>
      <c r="Q62" s="28"/>
      <c r="R62" s="28"/>
      <c r="S62" s="28"/>
      <c r="T62" s="28"/>
      <c r="U62" s="28"/>
      <c r="V62" s="28"/>
      <c r="W62" s="28">
        <f>V61</f>
        <v>0</v>
      </c>
      <c r="X62" s="28"/>
      <c r="Y62" s="28"/>
      <c r="Z62" s="28">
        <f>Y61</f>
        <v>0</v>
      </c>
      <c r="AA62" s="86"/>
      <c r="AB62" s="28">
        <f>AA61</f>
        <v>0</v>
      </c>
      <c r="AC62" s="28"/>
      <c r="AD62" s="28"/>
    </row>
    <row r="63" spans="3:30">
      <c r="C63" s="39" t="s">
        <v>339</v>
      </c>
      <c r="P63" s="28"/>
      <c r="Q63" s="28"/>
      <c r="R63" s="28"/>
      <c r="S63" s="28"/>
      <c r="T63" s="28"/>
      <c r="U63" s="28"/>
      <c r="V63" s="28"/>
      <c r="W63" s="129">
        <f>IF('Tableau simu'!D10="Oui",1,0)</f>
        <v>1</v>
      </c>
      <c r="X63" s="28"/>
      <c r="Y63" s="28"/>
      <c r="Z63" s="28"/>
      <c r="AA63" s="86"/>
      <c r="AB63" s="41" t="s">
        <v>263</v>
      </c>
      <c r="AC63" s="28"/>
      <c r="AD63" s="28"/>
    </row>
    <row r="64" spans="3:30">
      <c r="C64" s="37" t="s">
        <v>332</v>
      </c>
      <c r="P64" s="28"/>
      <c r="Q64" s="28"/>
      <c r="R64" s="28"/>
      <c r="S64" s="28"/>
      <c r="T64" s="28"/>
      <c r="U64" s="28"/>
      <c r="V64" s="28"/>
      <c r="W64" s="41">
        <f>IF($B$9=0,0,$W$63*$B$9*$A$6)</f>
        <v>14352</v>
      </c>
      <c r="X64" s="28"/>
      <c r="Y64" s="28"/>
      <c r="Z64" s="61">
        <f>IF($B$10=0,0,$W$63*$B$10*$A$6)</f>
        <v>57408</v>
      </c>
      <c r="AA64" s="86"/>
      <c r="AB64" s="41">
        <f>IF($B$11=0,0,$W$63*$B$11*$A$6)</f>
        <v>71760</v>
      </c>
      <c r="AC64" s="28"/>
      <c r="AD64" s="28"/>
    </row>
    <row r="65" spans="3:34">
      <c r="C65" s="37" t="s">
        <v>333</v>
      </c>
      <c r="P65" s="28"/>
      <c r="Q65" s="28"/>
      <c r="R65" s="28"/>
      <c r="S65" s="28"/>
      <c r="T65" s="28"/>
      <c r="U65" s="28"/>
      <c r="V65" s="28"/>
      <c r="W65" s="28"/>
      <c r="X65" s="28">
        <f>W64</f>
        <v>14352</v>
      </c>
      <c r="Y65" s="28"/>
      <c r="Z65" s="28"/>
      <c r="AA65" s="86">
        <f>Z64</f>
        <v>57408</v>
      </c>
      <c r="AB65" s="28"/>
      <c r="AC65" s="28">
        <f>AB64</f>
        <v>71760</v>
      </c>
      <c r="AD65" s="28"/>
    </row>
    <row r="66" spans="3:34">
      <c r="C66" s="39" t="s">
        <v>340</v>
      </c>
      <c r="P66" s="28"/>
      <c r="Q66" s="28"/>
      <c r="R66" s="28"/>
      <c r="S66" s="28"/>
      <c r="T66" s="28"/>
      <c r="U66" s="28"/>
      <c r="V66" s="28"/>
      <c r="W66" s="28"/>
      <c r="X66" s="129">
        <f>IF('Tableau simu'!D11="Oui",1,0)</f>
        <v>0</v>
      </c>
      <c r="Y66" s="28"/>
      <c r="Z66" s="28"/>
      <c r="AA66" s="86"/>
      <c r="AB66" s="28"/>
      <c r="AC66" s="41" t="s">
        <v>263</v>
      </c>
      <c r="AD66" s="28"/>
    </row>
    <row r="67" spans="3:34">
      <c r="C67" s="37" t="s">
        <v>332</v>
      </c>
      <c r="P67" s="28"/>
      <c r="Q67" s="28"/>
      <c r="R67" s="28"/>
      <c r="S67" s="28"/>
      <c r="T67" s="28"/>
      <c r="U67" s="28"/>
      <c r="V67" s="28"/>
      <c r="W67" s="28"/>
      <c r="X67" s="41">
        <f>IF($B$9=0,0,$X$66*$B$9*$A$6)</f>
        <v>0</v>
      </c>
      <c r="Y67" s="28"/>
      <c r="AA67" s="44">
        <f>IF($B$10=0,0,$X$66*$B$10*$A$6)</f>
        <v>0</v>
      </c>
      <c r="AC67" s="41">
        <f>IF($B$11=0,0,$X$66*$B$11*$A$6)</f>
        <v>0</v>
      </c>
      <c r="AD67" s="28"/>
    </row>
    <row r="68" spans="3:34">
      <c r="C68" s="37" t="s">
        <v>333</v>
      </c>
      <c r="P68" s="28"/>
      <c r="Q68" s="28"/>
      <c r="R68" s="28"/>
      <c r="S68" s="28"/>
      <c r="T68" s="28"/>
      <c r="U68" s="28"/>
      <c r="V68" s="28"/>
      <c r="W68" s="28"/>
      <c r="X68" s="28"/>
      <c r="Y68" s="28">
        <f>X67</f>
        <v>0</v>
      </c>
      <c r="Z68" s="28"/>
      <c r="AA68" s="86"/>
      <c r="AB68" s="28">
        <f>AA67</f>
        <v>0</v>
      </c>
      <c r="AC68" s="28"/>
      <c r="AD68" s="28">
        <f>AC67</f>
        <v>0</v>
      </c>
    </row>
    <row r="69" spans="3:34">
      <c r="C69" s="39" t="s">
        <v>341</v>
      </c>
      <c r="P69" s="28"/>
      <c r="Q69" s="28"/>
      <c r="R69" s="28"/>
      <c r="S69" s="28"/>
      <c r="T69" s="28"/>
      <c r="U69" s="28"/>
      <c r="V69" s="28"/>
      <c r="W69" s="28"/>
      <c r="X69" s="28"/>
      <c r="Y69" s="129">
        <f>IF('Tableau simu'!D12="Oui",1,0)</f>
        <v>1</v>
      </c>
      <c r="Z69" s="28"/>
      <c r="AA69" s="86"/>
      <c r="AB69" s="28"/>
      <c r="AC69" s="28"/>
      <c r="AD69" s="41" t="s">
        <v>263</v>
      </c>
    </row>
    <row r="70" spans="3:34">
      <c r="C70" s="37" t="s">
        <v>332</v>
      </c>
      <c r="P70" s="28"/>
      <c r="Q70" s="28"/>
      <c r="R70" s="28"/>
      <c r="S70" s="28"/>
      <c r="T70" s="28"/>
      <c r="U70" s="28"/>
      <c r="V70" s="28"/>
      <c r="W70" s="28"/>
      <c r="X70" s="28"/>
      <c r="Y70" s="41">
        <f>IF($B$9=0,0,$Y$69*$B$9*$A$6)</f>
        <v>14352</v>
      </c>
      <c r="Z70" s="28"/>
      <c r="AA70" s="86"/>
      <c r="AB70" s="61">
        <f>IF($B$10=0,0,$Y$69*$B$10*$A$6)</f>
        <v>57408</v>
      </c>
      <c r="AC70" s="28"/>
      <c r="AD70" s="41">
        <f>IF($B$11=0,0,$Y$69*$B$11*$A$6)</f>
        <v>71760</v>
      </c>
    </row>
    <row r="71" spans="3:34">
      <c r="C71" s="37" t="s">
        <v>333</v>
      </c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>
        <f>Y70</f>
        <v>14352</v>
      </c>
      <c r="AA71" s="86"/>
      <c r="AB71" s="28"/>
      <c r="AC71" s="28">
        <f>AB70</f>
        <v>57408</v>
      </c>
      <c r="AD71" s="28"/>
      <c r="AE71" s="28">
        <f>AD70</f>
        <v>71760</v>
      </c>
    </row>
    <row r="72" spans="3:34">
      <c r="C72" s="39" t="s">
        <v>342</v>
      </c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129">
        <f>IF('Tableau simu'!D13="Oui",1,0)</f>
        <v>0</v>
      </c>
      <c r="AA72" s="86"/>
      <c r="AB72" s="28"/>
      <c r="AC72" s="28"/>
      <c r="AD72" s="28"/>
      <c r="AE72" s="41" t="s">
        <v>263</v>
      </c>
    </row>
    <row r="73" spans="3:34">
      <c r="C73" s="37" t="s">
        <v>332</v>
      </c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41">
        <f>IF($B$9=0,0,$Z$72*$B$9*$A$6)</f>
        <v>0</v>
      </c>
      <c r="AA73" s="86"/>
      <c r="AC73" s="61">
        <f>IF($B$10=0,0,$Z$72*$B$10*$A$6)</f>
        <v>0</v>
      </c>
      <c r="AE73" s="41">
        <f>IF($B$11=0,0,$Z$72*$B$11*$A$6)</f>
        <v>0</v>
      </c>
    </row>
    <row r="74" spans="3:34">
      <c r="C74" s="37" t="s">
        <v>333</v>
      </c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86">
        <f>Z73</f>
        <v>0</v>
      </c>
      <c r="AB74" s="28"/>
      <c r="AC74" s="28"/>
      <c r="AD74" s="28">
        <f>AC73</f>
        <v>0</v>
      </c>
      <c r="AE74" s="28"/>
      <c r="AF74" s="28">
        <f>AE73</f>
        <v>0</v>
      </c>
    </row>
    <row r="75" spans="3:34">
      <c r="C75" s="39" t="s">
        <v>343</v>
      </c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130">
        <f>IF('Tableau simu'!D14="Oui",1,0)</f>
        <v>1</v>
      </c>
      <c r="AB75" s="28"/>
      <c r="AC75" s="28"/>
      <c r="AD75" s="28"/>
      <c r="AF75" s="41" t="s">
        <v>263</v>
      </c>
    </row>
    <row r="76" spans="3:34">
      <c r="C76" s="37" t="s">
        <v>332</v>
      </c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44">
        <f>IF($B$9=0,0,$AA$75*$B$9*$A$6)</f>
        <v>14352</v>
      </c>
      <c r="AB76" s="28"/>
      <c r="AC76" s="28"/>
      <c r="AD76" s="61">
        <f>IF($B$10=0,0,$AA$75*$B$10*$A$6)</f>
        <v>57408</v>
      </c>
      <c r="AE76" s="28"/>
      <c r="AF76" s="41">
        <f>IF($B$11=0,0,$AA$75*$B$11*$A$6)</f>
        <v>71760</v>
      </c>
    </row>
    <row r="77" spans="3:34">
      <c r="C77" s="37" t="s">
        <v>333</v>
      </c>
      <c r="AB77" s="28">
        <f>AA76</f>
        <v>14352</v>
      </c>
      <c r="AC77" s="28"/>
      <c r="AD77" s="28"/>
      <c r="AE77" s="28">
        <f>AD76</f>
        <v>57408</v>
      </c>
      <c r="AF77" s="28"/>
      <c r="AG77" s="28">
        <f>AF76</f>
        <v>71760</v>
      </c>
      <c r="AH77" s="28">
        <f>AG76</f>
        <v>0</v>
      </c>
    </row>
    <row r="78" spans="3:34">
      <c r="C78" s="37" t="s">
        <v>510</v>
      </c>
      <c r="D78" s="28">
        <f>D43+D46+D49+D52+D55+D58+D61+D64+D67+D70+D73+D76</f>
        <v>0</v>
      </c>
      <c r="E78" s="28">
        <f t="shared" ref="E78:AH78" si="2">E43+E46+E49+E52+E55+E58+E61+E64+E67+E70+E73+E76</f>
        <v>0</v>
      </c>
      <c r="F78" s="28">
        <f t="shared" si="2"/>
        <v>0</v>
      </c>
      <c r="G78" s="28">
        <f t="shared" si="2"/>
        <v>0</v>
      </c>
      <c r="H78" s="28">
        <f t="shared" si="2"/>
        <v>0</v>
      </c>
      <c r="I78" s="28">
        <f t="shared" si="2"/>
        <v>0</v>
      </c>
      <c r="J78" s="28">
        <f t="shared" si="2"/>
        <v>0</v>
      </c>
      <c r="K78" s="28">
        <f t="shared" si="2"/>
        <v>0</v>
      </c>
      <c r="L78" s="28">
        <f t="shared" si="2"/>
        <v>0</v>
      </c>
      <c r="M78" s="28">
        <f t="shared" si="2"/>
        <v>0</v>
      </c>
      <c r="N78" s="28">
        <f t="shared" si="2"/>
        <v>0</v>
      </c>
      <c r="O78" s="86">
        <f t="shared" si="2"/>
        <v>0</v>
      </c>
      <c r="P78" s="28">
        <f t="shared" si="2"/>
        <v>0</v>
      </c>
      <c r="Q78" s="28">
        <f t="shared" si="2"/>
        <v>14352</v>
      </c>
      <c r="R78" s="28">
        <f t="shared" si="2"/>
        <v>0</v>
      </c>
      <c r="S78" s="28">
        <f t="shared" si="2"/>
        <v>14352</v>
      </c>
      <c r="T78" s="28">
        <f>T43+T46+T49+T52+T55+T58+T61+T64+T67+T70+T73+T76</f>
        <v>57408</v>
      </c>
      <c r="U78" s="28">
        <f>U43+U46+U49+U52+U55+U58+U61+U64+U67+U70+U73+U76</f>
        <v>14352</v>
      </c>
      <c r="V78" s="28">
        <f>V43+V46+V49+V52+V55+V58+V61+V64+V67+V70+V73+V76</f>
        <v>129168</v>
      </c>
      <c r="W78" s="28">
        <f>W43+W46+W49+W52+W55+W58+W61+W64+W67+W70+W73+W76</f>
        <v>14352</v>
      </c>
      <c r="X78" s="28">
        <f>X43+X46+X49+X52+Y55+X58+Y61+X64+X67+X70+X73+X76</f>
        <v>129168</v>
      </c>
      <c r="Y78" s="28">
        <f>Y43+Y46+Y49+Y52+Y55+Y58+Z61+Y64+Y67+Y70+Y73+Y76</f>
        <v>14352</v>
      </c>
      <c r="Z78" s="28">
        <f t="shared" ref="Z78:AE78" si="3">Z43+Z46+Z49+Z52+Z55+Z58+Z61+Z64+Z67+Z70+Z73+Z76</f>
        <v>129168</v>
      </c>
      <c r="AA78" s="86">
        <f t="shared" si="3"/>
        <v>14352</v>
      </c>
      <c r="AB78" s="28">
        <f t="shared" si="3"/>
        <v>129168</v>
      </c>
      <c r="AC78" s="28">
        <f t="shared" si="3"/>
        <v>0</v>
      </c>
      <c r="AD78" s="28">
        <f t="shared" si="3"/>
        <v>129168</v>
      </c>
      <c r="AE78" s="28">
        <f t="shared" si="3"/>
        <v>0</v>
      </c>
      <c r="AF78" s="28">
        <f t="shared" si="2"/>
        <v>71760</v>
      </c>
      <c r="AG78" s="28">
        <f t="shared" si="2"/>
        <v>0</v>
      </c>
      <c r="AH78" s="28">
        <f t="shared" si="2"/>
        <v>0</v>
      </c>
    </row>
    <row r="79" spans="3:34">
      <c r="C79" s="37" t="s">
        <v>344</v>
      </c>
      <c r="D79" s="28">
        <f>D44+D47+D50+D53+D56+D59+D62+D65+D68+D71+D74+D77</f>
        <v>0</v>
      </c>
      <c r="E79" s="28">
        <f t="shared" ref="E79:AH79" si="4">E44+E47+E50+E53+E56+E59+E62+E65+E68+E71+E74+E77</f>
        <v>0</v>
      </c>
      <c r="F79" s="28">
        <f t="shared" si="4"/>
        <v>0</v>
      </c>
      <c r="G79" s="28">
        <f t="shared" si="4"/>
        <v>0</v>
      </c>
      <c r="H79" s="28">
        <f t="shared" si="4"/>
        <v>0</v>
      </c>
      <c r="I79" s="28">
        <f t="shared" si="4"/>
        <v>0</v>
      </c>
      <c r="J79" s="28">
        <f t="shared" si="4"/>
        <v>0</v>
      </c>
      <c r="K79" s="28">
        <f t="shared" si="4"/>
        <v>0</v>
      </c>
      <c r="L79" s="28">
        <f t="shared" si="4"/>
        <v>0</v>
      </c>
      <c r="M79" s="28">
        <f t="shared" si="4"/>
        <v>0</v>
      </c>
      <c r="N79" s="28">
        <f t="shared" si="4"/>
        <v>0</v>
      </c>
      <c r="O79" s="86">
        <f t="shared" si="4"/>
        <v>0</v>
      </c>
      <c r="P79" s="28">
        <f t="shared" si="4"/>
        <v>0</v>
      </c>
      <c r="Q79" s="28">
        <f t="shared" si="4"/>
        <v>0</v>
      </c>
      <c r="R79" s="28">
        <f t="shared" si="4"/>
        <v>14352</v>
      </c>
      <c r="S79" s="28">
        <f t="shared" si="4"/>
        <v>0</v>
      </c>
      <c r="T79" s="28">
        <f t="shared" si="4"/>
        <v>14352</v>
      </c>
      <c r="U79" s="28">
        <f t="shared" si="4"/>
        <v>57408</v>
      </c>
      <c r="V79" s="28">
        <f t="shared" si="4"/>
        <v>14352</v>
      </c>
      <c r="W79" s="28">
        <f t="shared" si="4"/>
        <v>129168</v>
      </c>
      <c r="X79" s="28">
        <f t="shared" si="4"/>
        <v>14352</v>
      </c>
      <c r="Y79" s="28">
        <f t="shared" si="4"/>
        <v>129168</v>
      </c>
      <c r="Z79" s="28">
        <f t="shared" si="4"/>
        <v>14352</v>
      </c>
      <c r="AA79" s="86">
        <f t="shared" si="4"/>
        <v>129168</v>
      </c>
      <c r="AB79" s="28">
        <f t="shared" si="4"/>
        <v>14352</v>
      </c>
      <c r="AC79" s="28">
        <f t="shared" si="4"/>
        <v>129168</v>
      </c>
      <c r="AD79" s="28">
        <f t="shared" si="4"/>
        <v>0</v>
      </c>
      <c r="AE79" s="28">
        <f t="shared" si="4"/>
        <v>129168</v>
      </c>
      <c r="AF79" s="28">
        <f t="shared" si="4"/>
        <v>0</v>
      </c>
      <c r="AG79" s="28">
        <f t="shared" si="4"/>
        <v>71760</v>
      </c>
      <c r="AH79" s="28">
        <f t="shared" si="4"/>
        <v>0</v>
      </c>
    </row>
    <row r="80" spans="3:34">
      <c r="C80" s="19" t="s">
        <v>528</v>
      </c>
      <c r="D80" s="36">
        <f>D78+D39</f>
        <v>0</v>
      </c>
      <c r="E80" s="36">
        <f t="shared" ref="E80:AH80" si="5">E78+E39</f>
        <v>0</v>
      </c>
      <c r="F80" s="36">
        <f t="shared" si="5"/>
        <v>11960</v>
      </c>
      <c r="G80" s="36">
        <f t="shared" si="5"/>
        <v>11960</v>
      </c>
      <c r="H80" s="36">
        <f t="shared" si="5"/>
        <v>59800</v>
      </c>
      <c r="I80" s="36">
        <f t="shared" si="5"/>
        <v>59800</v>
      </c>
      <c r="J80" s="36">
        <f t="shared" si="5"/>
        <v>119600</v>
      </c>
      <c r="K80" s="36">
        <f t="shared" si="5"/>
        <v>119600</v>
      </c>
      <c r="L80" s="36">
        <f t="shared" si="5"/>
        <v>119600</v>
      </c>
      <c r="M80" s="36">
        <f t="shared" si="5"/>
        <v>119600</v>
      </c>
      <c r="N80" s="36">
        <f t="shared" si="5"/>
        <v>119600</v>
      </c>
      <c r="O80" s="35">
        <f t="shared" si="5"/>
        <v>119600</v>
      </c>
      <c r="P80" s="36">
        <f t="shared" si="5"/>
        <v>117208</v>
      </c>
      <c r="Q80" s="36">
        <f t="shared" si="5"/>
        <v>131560</v>
      </c>
      <c r="R80" s="36">
        <f t="shared" si="5"/>
        <v>107640</v>
      </c>
      <c r="S80" s="36">
        <f t="shared" si="5"/>
        <v>121992</v>
      </c>
      <c r="T80" s="36">
        <f t="shared" si="5"/>
        <v>153088</v>
      </c>
      <c r="U80" s="36">
        <f t="shared" si="5"/>
        <v>110032</v>
      </c>
      <c r="V80" s="36">
        <f t="shared" si="5"/>
        <v>224848</v>
      </c>
      <c r="W80" s="36">
        <f t="shared" si="5"/>
        <v>110032</v>
      </c>
      <c r="X80" s="36">
        <f t="shared" si="5"/>
        <v>224848</v>
      </c>
      <c r="Y80" s="36">
        <f t="shared" si="5"/>
        <v>110032</v>
      </c>
      <c r="Z80" s="36">
        <f t="shared" si="5"/>
        <v>224848</v>
      </c>
      <c r="AA80" s="35">
        <f t="shared" si="5"/>
        <v>110032</v>
      </c>
      <c r="AB80" s="36">
        <f t="shared" si="5"/>
        <v>215280</v>
      </c>
      <c r="AC80" s="36">
        <f t="shared" si="5"/>
        <v>86112</v>
      </c>
      <c r="AD80" s="36">
        <f t="shared" si="5"/>
        <v>177008</v>
      </c>
      <c r="AE80" s="36">
        <f t="shared" si="5"/>
        <v>47840</v>
      </c>
      <c r="AF80" s="36">
        <f t="shared" si="5"/>
        <v>71760</v>
      </c>
      <c r="AG80" s="36">
        <f t="shared" si="5"/>
        <v>0</v>
      </c>
      <c r="AH80" s="36">
        <f t="shared" si="5"/>
        <v>0</v>
      </c>
    </row>
    <row r="81" spans="3:34">
      <c r="C81" s="19" t="s">
        <v>529</v>
      </c>
      <c r="D81" s="36">
        <f>D79+D40</f>
        <v>0</v>
      </c>
      <c r="E81" s="36">
        <f t="shared" ref="E81:AH81" si="6">E79+E40</f>
        <v>0</v>
      </c>
      <c r="F81" s="36">
        <f t="shared" si="6"/>
        <v>0</v>
      </c>
      <c r="G81" s="36">
        <f t="shared" si="6"/>
        <v>11960</v>
      </c>
      <c r="H81" s="36">
        <f t="shared" si="6"/>
        <v>11960</v>
      </c>
      <c r="I81" s="36">
        <f t="shared" si="6"/>
        <v>59800</v>
      </c>
      <c r="J81" s="36">
        <f t="shared" si="6"/>
        <v>59800</v>
      </c>
      <c r="K81" s="36">
        <f t="shared" si="6"/>
        <v>119600</v>
      </c>
      <c r="L81" s="36">
        <f t="shared" si="6"/>
        <v>119600</v>
      </c>
      <c r="M81" s="36">
        <f t="shared" si="6"/>
        <v>119600</v>
      </c>
      <c r="N81" s="36">
        <f t="shared" si="6"/>
        <v>119600</v>
      </c>
      <c r="O81" s="35">
        <f t="shared" si="6"/>
        <v>119600</v>
      </c>
      <c r="P81" s="36">
        <f t="shared" si="6"/>
        <v>119600</v>
      </c>
      <c r="Q81" s="36">
        <f t="shared" si="6"/>
        <v>117208</v>
      </c>
      <c r="R81" s="36">
        <f t="shared" si="6"/>
        <v>131560</v>
      </c>
      <c r="S81" s="36">
        <f t="shared" si="6"/>
        <v>107640</v>
      </c>
      <c r="T81" s="36">
        <f t="shared" si="6"/>
        <v>121992</v>
      </c>
      <c r="U81" s="36">
        <f t="shared" si="6"/>
        <v>153088</v>
      </c>
      <c r="V81" s="36">
        <f t="shared" si="6"/>
        <v>110032</v>
      </c>
      <c r="W81" s="36">
        <f t="shared" si="6"/>
        <v>224848</v>
      </c>
      <c r="X81" s="36">
        <f t="shared" si="6"/>
        <v>110032</v>
      </c>
      <c r="Y81" s="36">
        <f t="shared" si="6"/>
        <v>224848</v>
      </c>
      <c r="Z81" s="36">
        <f t="shared" si="6"/>
        <v>110032</v>
      </c>
      <c r="AA81" s="35">
        <f t="shared" si="6"/>
        <v>224848</v>
      </c>
      <c r="AB81" s="36">
        <f t="shared" si="6"/>
        <v>110032</v>
      </c>
      <c r="AC81" s="36">
        <f t="shared" si="6"/>
        <v>215280</v>
      </c>
      <c r="AD81" s="36">
        <f t="shared" si="6"/>
        <v>86112</v>
      </c>
      <c r="AE81" s="36">
        <f t="shared" si="6"/>
        <v>177008</v>
      </c>
      <c r="AF81" s="36">
        <f t="shared" si="6"/>
        <v>47840</v>
      </c>
      <c r="AG81" s="36">
        <f t="shared" si="6"/>
        <v>71760</v>
      </c>
      <c r="AH81" s="36">
        <f t="shared" si="6"/>
        <v>0</v>
      </c>
    </row>
    <row r="83" spans="3:34">
      <c r="C83" s="37" t="s">
        <v>530</v>
      </c>
      <c r="P83" s="36">
        <f>P39</f>
        <v>117208</v>
      </c>
      <c r="Q83" s="36">
        <f t="shared" ref="Q83:AH83" si="7">Q39</f>
        <v>117208</v>
      </c>
      <c r="R83" s="36">
        <f t="shared" si="7"/>
        <v>107640</v>
      </c>
      <c r="S83" s="36">
        <f t="shared" si="7"/>
        <v>107640</v>
      </c>
      <c r="T83" s="36">
        <f t="shared" si="7"/>
        <v>95680</v>
      </c>
      <c r="U83" s="36">
        <f t="shared" si="7"/>
        <v>95680</v>
      </c>
      <c r="V83" s="36">
        <f t="shared" si="7"/>
        <v>95680</v>
      </c>
      <c r="W83" s="36">
        <f t="shared" si="7"/>
        <v>95680</v>
      </c>
      <c r="X83" s="36">
        <f t="shared" si="7"/>
        <v>95680</v>
      </c>
      <c r="Y83" s="36">
        <f t="shared" si="7"/>
        <v>95680</v>
      </c>
      <c r="Z83" s="36">
        <f t="shared" si="7"/>
        <v>95680</v>
      </c>
      <c r="AA83" s="35">
        <f t="shared" si="7"/>
        <v>95680</v>
      </c>
      <c r="AB83" s="36">
        <f t="shared" si="7"/>
        <v>86112</v>
      </c>
      <c r="AC83" s="36">
        <f t="shared" si="7"/>
        <v>86112</v>
      </c>
      <c r="AD83" s="36">
        <f t="shared" si="7"/>
        <v>47840</v>
      </c>
      <c r="AE83" s="36">
        <f t="shared" si="7"/>
        <v>47840</v>
      </c>
      <c r="AF83" s="36">
        <f t="shared" si="7"/>
        <v>0</v>
      </c>
      <c r="AG83" s="36">
        <f t="shared" si="7"/>
        <v>0</v>
      </c>
      <c r="AH83" s="36">
        <f t="shared" si="7"/>
        <v>0</v>
      </c>
    </row>
    <row r="84" spans="3:34">
      <c r="C84" s="37" t="s">
        <v>531</v>
      </c>
      <c r="P84" s="36">
        <f>P78</f>
        <v>0</v>
      </c>
      <c r="Q84" s="36">
        <f t="shared" ref="Q84:AH84" si="8">Q78</f>
        <v>14352</v>
      </c>
      <c r="R84" s="36">
        <f t="shared" si="8"/>
        <v>0</v>
      </c>
      <c r="S84" s="36">
        <f t="shared" si="8"/>
        <v>14352</v>
      </c>
      <c r="T84" s="36">
        <f t="shared" si="8"/>
        <v>57408</v>
      </c>
      <c r="U84" s="36">
        <f t="shared" si="8"/>
        <v>14352</v>
      </c>
      <c r="V84" s="36">
        <f t="shared" si="8"/>
        <v>129168</v>
      </c>
      <c r="W84" s="36">
        <f t="shared" si="8"/>
        <v>14352</v>
      </c>
      <c r="X84" s="36">
        <f t="shared" si="8"/>
        <v>129168</v>
      </c>
      <c r="Y84" s="36">
        <f t="shared" si="8"/>
        <v>14352</v>
      </c>
      <c r="Z84" s="36">
        <f t="shared" si="8"/>
        <v>129168</v>
      </c>
      <c r="AA84" s="35">
        <f t="shared" si="8"/>
        <v>14352</v>
      </c>
      <c r="AB84" s="36">
        <f t="shared" si="8"/>
        <v>129168</v>
      </c>
      <c r="AC84" s="36">
        <f t="shared" si="8"/>
        <v>0</v>
      </c>
      <c r="AD84" s="36">
        <f t="shared" si="8"/>
        <v>129168</v>
      </c>
      <c r="AE84" s="36">
        <f t="shared" si="8"/>
        <v>0</v>
      </c>
      <c r="AF84" s="36">
        <f t="shared" si="8"/>
        <v>71760</v>
      </c>
      <c r="AG84" s="36">
        <f t="shared" si="8"/>
        <v>0</v>
      </c>
      <c r="AH84" s="36">
        <f t="shared" si="8"/>
        <v>0</v>
      </c>
    </row>
  </sheetData>
  <mergeCells count="3">
    <mergeCell ref="P1:AA1"/>
    <mergeCell ref="D1:O1"/>
    <mergeCell ref="AB1:AH1"/>
  </mergeCells>
  <phoneticPr fontId="9" type="noConversion"/>
  <printOptions headings="1" gridLines="1"/>
  <pageMargins left="0.78740157499999996" right="0.78740157499999996" top="0.984251969" bottom="0.984251969" header="0.4921259845" footer="0.492125984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N19"/>
  <sheetViews>
    <sheetView workbookViewId="0">
      <selection activeCell="B3" sqref="B3"/>
    </sheetView>
  </sheetViews>
  <sheetFormatPr baseColWidth="10" defaultRowHeight="12.75"/>
  <cols>
    <col min="1" max="1" width="47.7109375" bestFit="1" customWidth="1"/>
    <col min="2" max="2" width="7.42578125" bestFit="1" customWidth="1"/>
    <col min="3" max="3" width="9" bestFit="1" customWidth="1"/>
    <col min="4" max="4" width="8.85546875" bestFit="1" customWidth="1"/>
    <col min="5" max="5" width="9" bestFit="1" customWidth="1"/>
    <col min="6" max="6" width="8.28515625" bestFit="1" customWidth="1"/>
    <col min="7" max="7" width="9" bestFit="1" customWidth="1"/>
    <col min="8" max="8" width="8.85546875" bestFit="1" customWidth="1"/>
    <col min="9" max="9" width="9" bestFit="1" customWidth="1"/>
  </cols>
  <sheetData>
    <row r="1" spans="1:9">
      <c r="A1" s="207"/>
      <c r="B1" s="465" t="s">
        <v>490</v>
      </c>
      <c r="C1" s="465"/>
      <c r="D1" s="465"/>
      <c r="E1" s="465"/>
      <c r="F1" s="465" t="s">
        <v>491</v>
      </c>
      <c r="G1" s="465"/>
      <c r="H1" s="465"/>
      <c r="I1" s="466"/>
    </row>
    <row r="2" spans="1:9" ht="33.75">
      <c r="A2" s="208"/>
      <c r="B2" s="205"/>
      <c r="C2" s="205" t="s">
        <v>453</v>
      </c>
      <c r="D2" s="205" t="s">
        <v>473</v>
      </c>
      <c r="E2" s="205" t="s">
        <v>376</v>
      </c>
      <c r="F2" s="162"/>
      <c r="G2" s="205" t="s">
        <v>496</v>
      </c>
      <c r="H2" s="205" t="s">
        <v>497</v>
      </c>
      <c r="I2" s="209" t="s">
        <v>376</v>
      </c>
    </row>
    <row r="3" spans="1:9">
      <c r="A3" s="170" t="s">
        <v>492</v>
      </c>
      <c r="B3" s="206">
        <f>'Budget, PV contrat'!D18</f>
        <v>60838.442316461471</v>
      </c>
      <c r="C3" s="162"/>
      <c r="D3" s="162"/>
      <c r="E3" s="162"/>
      <c r="F3" s="206">
        <f>'Budget, PV contrat'!G18</f>
        <v>57607.937630121814</v>
      </c>
      <c r="G3" s="162"/>
      <c r="H3" s="162"/>
      <c r="I3" s="173"/>
    </row>
    <row r="4" spans="1:9">
      <c r="A4" s="176" t="s">
        <v>500</v>
      </c>
      <c r="B4" s="206" t="str">
        <f>'Tableau simu'!B11</f>
        <v>Oui</v>
      </c>
      <c r="C4" s="206">
        <f>IF(B4="Oui",$B$3*75%,0)</f>
        <v>45628.831737346103</v>
      </c>
      <c r="D4" s="206">
        <f>IF(B4="Oui",('Tableau simu'!$B$20+'Tableau simu'!$B$21)*$B$3)</f>
        <v>30419.221158230735</v>
      </c>
      <c r="E4" s="206">
        <f>C4-D4</f>
        <v>15209.610579115368</v>
      </c>
      <c r="F4" s="294" t="str">
        <f>'Tableau simu'!C11</f>
        <v>Oui</v>
      </c>
      <c r="G4" s="206">
        <f>IF(F4="Oui",$F$3*75%,0)</f>
        <v>43205.953222591357</v>
      </c>
      <c r="H4" s="206">
        <f>IF(F4="OUI",('Tableau simu'!$C$20+'Tableau simu'!$C$21)*$F$3)</f>
        <v>28803.968815060907</v>
      </c>
      <c r="I4" s="210">
        <f>G4-H4</f>
        <v>14401.98440753045</v>
      </c>
    </row>
    <row r="5" spans="1:9">
      <c r="A5" s="176" t="s">
        <v>501</v>
      </c>
      <c r="B5" s="206" t="str">
        <f>'Tableau simu'!B12</f>
        <v>Oui</v>
      </c>
      <c r="C5" s="206">
        <f>IF(B5="Oui",$B$3*50%,0)</f>
        <v>30419.221158230735</v>
      </c>
      <c r="D5" s="206">
        <f>IF(B5="Oui",('Tableau simu'!$B$20+'Tableau simu'!$B$21)*$B$3)</f>
        <v>30419.221158230735</v>
      </c>
      <c r="E5" s="206">
        <f t="shared" ref="E5:E7" si="0">C5-D5</f>
        <v>0</v>
      </c>
      <c r="F5" s="294" t="str">
        <f>'Tableau simu'!C12</f>
        <v>Oui</v>
      </c>
      <c r="G5" s="206">
        <f>IF(F5="Oui",$F$3*50%,0)</f>
        <v>28803.968815060907</v>
      </c>
      <c r="H5" s="206">
        <f>IF(F5="OUI",('Tableau simu'!$C$20+'Tableau simu'!$C$21)*$F$3)</f>
        <v>28803.968815060907</v>
      </c>
      <c r="I5" s="210">
        <f t="shared" ref="I5:I7" si="1">G5-H5</f>
        <v>0</v>
      </c>
    </row>
    <row r="6" spans="1:9">
      <c r="A6" s="176" t="s">
        <v>502</v>
      </c>
      <c r="B6" s="206" t="str">
        <f>'Tableau simu'!B13</f>
        <v>Oui</v>
      </c>
      <c r="C6" s="206">
        <f>IF(B6="Oui",$B$3*25%,0)</f>
        <v>15209.610579115368</v>
      </c>
      <c r="D6" s="206">
        <f>IF(B6="Oui",('Tableau simu'!$B$20)*$B$3)</f>
        <v>6083.8442316461478</v>
      </c>
      <c r="E6" s="206">
        <f t="shared" si="0"/>
        <v>9125.7663474692199</v>
      </c>
      <c r="F6" s="294" t="str">
        <f>'Tableau simu'!C13</f>
        <v>Oui</v>
      </c>
      <c r="G6" s="206">
        <f>IF(F6="Oui",$F$3*25%,0)</f>
        <v>14401.984407530454</v>
      </c>
      <c r="H6" s="206">
        <f>IF(F6="OUI",('Tableau simu'!$C$20)*$F$3)</f>
        <v>5760.7937630121814</v>
      </c>
      <c r="I6" s="210">
        <f t="shared" si="1"/>
        <v>8641.1906445182722</v>
      </c>
    </row>
    <row r="7" spans="1:9">
      <c r="A7" s="176" t="s">
        <v>498</v>
      </c>
      <c r="B7" s="206" t="str">
        <f>'Tableau simu'!B14</f>
        <v>Oui</v>
      </c>
      <c r="C7" s="206">
        <f>IF(B7="Oui",$B$3*0%,0)</f>
        <v>0</v>
      </c>
      <c r="D7" s="206">
        <f>IF(B7="Oui",('Tableau simu'!$B$20)*$B$3)</f>
        <v>6083.8442316461478</v>
      </c>
      <c r="E7" s="206">
        <f t="shared" si="0"/>
        <v>-6083.8442316461478</v>
      </c>
      <c r="F7" s="294" t="str">
        <f>'Tableau simu'!C14</f>
        <v>Oui</v>
      </c>
      <c r="G7" s="206">
        <f>IF(F7="Oui",$F$3*0%,0)</f>
        <v>0</v>
      </c>
      <c r="H7" s="206">
        <f>IF(F7="OUI",('Tableau simu'!$C$20)*$F$3)</f>
        <v>5760.7937630121814</v>
      </c>
      <c r="I7" s="210">
        <f t="shared" si="1"/>
        <v>-5760.7937630121814</v>
      </c>
    </row>
    <row r="8" spans="1:9">
      <c r="A8" s="211" t="s">
        <v>494</v>
      </c>
      <c r="B8" s="186"/>
      <c r="C8" s="162"/>
      <c r="D8" s="206"/>
      <c r="E8" s="186">
        <f>SUM(E4:E7)</f>
        <v>18251.53269493844</v>
      </c>
      <c r="F8" s="294"/>
      <c r="G8" s="162"/>
      <c r="H8" s="162"/>
      <c r="I8" s="212">
        <f>SUM(I4:I7)</f>
        <v>17282.381289036541</v>
      </c>
    </row>
    <row r="9" spans="1:9">
      <c r="A9" s="158"/>
      <c r="B9" s="162"/>
      <c r="C9" s="162"/>
      <c r="D9" s="206"/>
      <c r="E9" s="185"/>
      <c r="F9" s="294"/>
      <c r="G9" s="162"/>
      <c r="H9" s="162"/>
      <c r="I9" s="173"/>
    </row>
    <row r="10" spans="1:9">
      <c r="A10" s="170" t="s">
        <v>493</v>
      </c>
      <c r="B10" s="302">
        <v>0</v>
      </c>
      <c r="C10" s="162"/>
      <c r="D10" s="206"/>
      <c r="E10" s="185"/>
      <c r="F10" s="302">
        <f>'Budget, PV contrat'!J18</f>
        <v>74407.937630121814</v>
      </c>
      <c r="G10" s="162"/>
      <c r="H10" s="162"/>
      <c r="I10" s="173"/>
    </row>
    <row r="11" spans="1:9">
      <c r="A11" s="176" t="s">
        <v>499</v>
      </c>
      <c r="B11" s="162"/>
      <c r="C11" s="162"/>
      <c r="D11" s="206"/>
      <c r="E11" s="185"/>
      <c r="F11" s="294" t="str">
        <f>'Tableau simu'!D10</f>
        <v>Oui</v>
      </c>
      <c r="G11" s="206">
        <f>IF(F11="Oui",$F$10*80%,0)</f>
        <v>59526.350104097452</v>
      </c>
      <c r="H11" s="206">
        <f>IF(F11="Oui",('Tableau simu'!$D$20+'Tableau simu'!$D$21)*TEC!$F$10,0)</f>
        <v>37203.968815060907</v>
      </c>
      <c r="I11" s="210">
        <f>G11-H11</f>
        <v>22322.381289036544</v>
      </c>
    </row>
    <row r="12" spans="1:9">
      <c r="A12" s="176" t="s">
        <v>534</v>
      </c>
      <c r="B12" s="162"/>
      <c r="C12" s="162"/>
      <c r="D12" s="206"/>
      <c r="E12" s="185"/>
      <c r="F12" s="294" t="str">
        <f>'Tableau simu'!D11</f>
        <v>Non</v>
      </c>
      <c r="G12" s="206">
        <f>IF(F12="Oui",$F$10*60%,0)</f>
        <v>0</v>
      </c>
      <c r="H12" s="206">
        <f>IF(F12="Oui",('Tableau simu'!$D$20+'Tableau simu'!$D$21)*TEC!$F$10,0)</f>
        <v>0</v>
      </c>
      <c r="I12" s="210">
        <f t="shared" ref="I12:I15" si="2">G12-H12</f>
        <v>0</v>
      </c>
    </row>
    <row r="13" spans="1:9">
      <c r="A13" s="176" t="s">
        <v>503</v>
      </c>
      <c r="B13" s="162"/>
      <c r="C13" s="162"/>
      <c r="D13" s="206"/>
      <c r="E13" s="185"/>
      <c r="F13" s="294" t="str">
        <f>'Tableau simu'!D12</f>
        <v>Oui</v>
      </c>
      <c r="G13" s="206">
        <f>IF(F13="Oui",$F$10*40%,0)</f>
        <v>29763.175052048726</v>
      </c>
      <c r="H13" s="206">
        <f>IF(F13="Oui",('Tableau simu'!$D$20)*TEC!$F$10,0)</f>
        <v>7440.7937630121814</v>
      </c>
      <c r="I13" s="210">
        <f t="shared" si="2"/>
        <v>22322.381289036544</v>
      </c>
    </row>
    <row r="14" spans="1:9">
      <c r="A14" s="176" t="s">
        <v>535</v>
      </c>
      <c r="B14" s="162"/>
      <c r="C14" s="162"/>
      <c r="D14" s="206"/>
      <c r="E14" s="185"/>
      <c r="F14" s="294" t="str">
        <f>'Tableau simu'!D13</f>
        <v>Non</v>
      </c>
      <c r="G14" s="206">
        <f>IF(F14="Oui",$F$10*20%,0)</f>
        <v>0</v>
      </c>
      <c r="H14" s="206">
        <f>IF(F14="Oui",('Tableau simu'!$D$20)*TEC!$F$10,0)</f>
        <v>0</v>
      </c>
      <c r="I14" s="210">
        <f t="shared" si="2"/>
        <v>0</v>
      </c>
    </row>
    <row r="15" spans="1:9">
      <c r="A15" s="176" t="s">
        <v>498</v>
      </c>
      <c r="B15" s="162"/>
      <c r="C15" s="162"/>
      <c r="D15" s="206"/>
      <c r="E15" s="185"/>
      <c r="F15" s="294" t="str">
        <f>'Tableau simu'!D14</f>
        <v>Oui</v>
      </c>
      <c r="G15" s="206">
        <f>IF(F15="Oui",$F$10*0%,0)</f>
        <v>0</v>
      </c>
      <c r="H15" s="206">
        <f>IF(F15="Oui",('Tableau simu'!$D$20)*TEC!$F$10,0)</f>
        <v>7440.7937630121814</v>
      </c>
      <c r="I15" s="210">
        <f t="shared" si="2"/>
        <v>-7440.7937630121814</v>
      </c>
    </row>
    <row r="16" spans="1:9">
      <c r="A16" s="211" t="s">
        <v>495</v>
      </c>
      <c r="B16" s="162"/>
      <c r="C16" s="162"/>
      <c r="D16" s="206"/>
      <c r="E16" s="206">
        <f>B10</f>
        <v>0</v>
      </c>
      <c r="F16" s="162"/>
      <c r="G16" s="162"/>
      <c r="H16" s="162"/>
      <c r="I16" s="212">
        <f>SUM(I11:I15)</f>
        <v>37203.968815060907</v>
      </c>
    </row>
    <row r="17" spans="1:14">
      <c r="A17" s="170" t="s">
        <v>536</v>
      </c>
      <c r="B17" s="162"/>
      <c r="C17" s="162"/>
      <c r="D17" s="206"/>
      <c r="E17" s="186">
        <f>E16+E8</f>
        <v>18251.53269493844</v>
      </c>
      <c r="F17" s="162"/>
      <c r="G17" s="162"/>
      <c r="H17" s="162"/>
      <c r="I17" s="212">
        <f>I16+I8</f>
        <v>54486.350104097452</v>
      </c>
      <c r="J17" s="37"/>
      <c r="K17" s="37"/>
      <c r="L17" s="37"/>
      <c r="M17" s="37"/>
      <c r="N17" s="37"/>
    </row>
    <row r="18" spans="1:14">
      <c r="A18" s="158"/>
      <c r="B18" s="162"/>
      <c r="C18" s="162"/>
      <c r="D18" s="162"/>
      <c r="E18" s="162"/>
      <c r="F18" s="162"/>
      <c r="G18" s="162"/>
      <c r="H18" s="162"/>
      <c r="I18" s="173"/>
      <c r="J18" s="37"/>
      <c r="K18" s="37"/>
      <c r="L18" s="37"/>
      <c r="M18" s="37"/>
      <c r="N18" s="37"/>
    </row>
    <row r="19" spans="1:14" ht="13.5" thickBot="1">
      <c r="A19" s="180" t="s">
        <v>537</v>
      </c>
      <c r="B19" s="213"/>
      <c r="C19" s="213"/>
      <c r="D19" s="213"/>
      <c r="E19" s="214">
        <f>E17</f>
        <v>18251.53269493844</v>
      </c>
      <c r="F19" s="213"/>
      <c r="G19" s="213"/>
      <c r="H19" s="213"/>
      <c r="I19" s="215">
        <f>I17-E17</f>
        <v>36234.817409159012</v>
      </c>
      <c r="J19" s="37"/>
      <c r="K19" s="37"/>
      <c r="L19" s="37"/>
      <c r="M19" s="37"/>
      <c r="N19" s="37"/>
    </row>
  </sheetData>
  <mergeCells count="2">
    <mergeCell ref="B1:E1"/>
    <mergeCell ref="F1:I1"/>
  </mergeCells>
  <phoneticPr fontId="9" type="noConversion"/>
  <printOptions horizontalCentered="1" verticalCentered="1" headings="1" gridLines="1"/>
  <pageMargins left="0.78740157480314965" right="0.78740157480314965" top="0.98425196850393704" bottom="0.98425196850393704" header="0.51181102362204722" footer="0.5118110236220472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AD16"/>
  <sheetViews>
    <sheetView workbookViewId="0">
      <selection activeCell="D17" sqref="D17"/>
    </sheetView>
  </sheetViews>
  <sheetFormatPr baseColWidth="10" defaultRowHeight="12.75"/>
  <cols>
    <col min="1" max="1" width="3.28515625" customWidth="1"/>
    <col min="2" max="2" width="20.85546875" bestFit="1" customWidth="1"/>
    <col min="3" max="3" width="6.7109375" bestFit="1" customWidth="1"/>
    <col min="4" max="14" width="5.28515625" bestFit="1" customWidth="1"/>
    <col min="15" max="16" width="6.140625" bestFit="1" customWidth="1"/>
    <col min="17" max="17" width="6.7109375" bestFit="1" customWidth="1"/>
    <col min="18" max="19" width="5.28515625" bestFit="1" customWidth="1"/>
    <col min="20" max="20" width="5.28515625" customWidth="1"/>
    <col min="21" max="28" width="5.28515625" bestFit="1" customWidth="1"/>
    <col min="29" max="30" width="6.140625" bestFit="1" customWidth="1"/>
  </cols>
  <sheetData>
    <row r="1" spans="1:30" ht="13.5" thickBot="1">
      <c r="A1" s="6">
        <v>1</v>
      </c>
      <c r="B1" s="6" t="s">
        <v>613</v>
      </c>
      <c r="C1" s="6" t="s">
        <v>614</v>
      </c>
      <c r="D1" s="6" t="s">
        <v>331</v>
      </c>
      <c r="E1" s="6" t="s">
        <v>615</v>
      </c>
      <c r="F1" s="6" t="s">
        <v>325</v>
      </c>
      <c r="G1" s="6" t="s">
        <v>616</v>
      </c>
      <c r="H1" s="6" t="s">
        <v>617</v>
      </c>
      <c r="I1" s="6" t="s">
        <v>618</v>
      </c>
      <c r="J1" s="6" t="s">
        <v>324</v>
      </c>
      <c r="K1" s="6" t="s">
        <v>619</v>
      </c>
      <c r="L1" s="6" t="s">
        <v>324</v>
      </c>
      <c r="M1" s="6" t="s">
        <v>326</v>
      </c>
      <c r="N1" s="6" t="s">
        <v>330</v>
      </c>
      <c r="O1" s="6" t="s">
        <v>329</v>
      </c>
      <c r="P1" s="6" t="s">
        <v>621</v>
      </c>
      <c r="Q1" s="6" t="s">
        <v>622</v>
      </c>
      <c r="R1" s="6" t="s">
        <v>623</v>
      </c>
      <c r="S1" s="6" t="s">
        <v>328</v>
      </c>
      <c r="T1" s="6" t="s">
        <v>624</v>
      </c>
      <c r="U1" s="6" t="s">
        <v>625</v>
      </c>
      <c r="V1" s="6" t="s">
        <v>626</v>
      </c>
      <c r="W1" s="6" t="s">
        <v>627</v>
      </c>
      <c r="X1" s="6" t="s">
        <v>628</v>
      </c>
      <c r="Y1" s="6" t="s">
        <v>629</v>
      </c>
      <c r="Z1" s="6" t="s">
        <v>327</v>
      </c>
      <c r="AA1" s="6" t="s">
        <v>631</v>
      </c>
      <c r="AB1" s="6" t="s">
        <v>632</v>
      </c>
      <c r="AC1" s="6" t="s">
        <v>634</v>
      </c>
      <c r="AD1" s="6" t="s">
        <v>635</v>
      </c>
    </row>
    <row r="2" spans="1:30">
      <c r="A2" s="6">
        <v>2</v>
      </c>
      <c r="C2" s="467" t="s">
        <v>409</v>
      </c>
      <c r="D2" s="468"/>
      <c r="E2" s="468"/>
      <c r="F2" s="468"/>
      <c r="G2" s="468"/>
      <c r="H2" s="468"/>
      <c r="I2" s="468"/>
      <c r="J2" s="468"/>
      <c r="K2" s="468"/>
      <c r="L2" s="468"/>
      <c r="M2" s="468"/>
      <c r="N2" s="468"/>
      <c r="O2" s="468"/>
      <c r="P2" s="469"/>
      <c r="Q2" s="470" t="s">
        <v>410</v>
      </c>
      <c r="R2" s="465"/>
      <c r="S2" s="465"/>
      <c r="T2" s="465"/>
      <c r="U2" s="465"/>
      <c r="V2" s="465"/>
      <c r="W2" s="465"/>
      <c r="X2" s="465"/>
      <c r="Y2" s="465"/>
      <c r="Z2" s="465"/>
      <c r="AA2" s="465"/>
      <c r="AB2" s="465"/>
      <c r="AC2" s="465"/>
      <c r="AD2" s="466"/>
    </row>
    <row r="3" spans="1:30" ht="34.5" thickBot="1">
      <c r="A3" s="6">
        <v>3</v>
      </c>
      <c r="B3" s="17"/>
      <c r="C3" s="399" t="s">
        <v>254</v>
      </c>
      <c r="D3" s="397" t="s">
        <v>238</v>
      </c>
      <c r="E3" s="397" t="s">
        <v>239</v>
      </c>
      <c r="F3" s="397" t="s">
        <v>240</v>
      </c>
      <c r="G3" s="397" t="s">
        <v>241</v>
      </c>
      <c r="H3" s="397" t="s">
        <v>242</v>
      </c>
      <c r="I3" s="397" t="s">
        <v>243</v>
      </c>
      <c r="J3" s="397" t="s">
        <v>244</v>
      </c>
      <c r="K3" s="397" t="s">
        <v>245</v>
      </c>
      <c r="L3" s="397" t="s">
        <v>246</v>
      </c>
      <c r="M3" s="397" t="s">
        <v>247</v>
      </c>
      <c r="N3" s="397" t="s">
        <v>248</v>
      </c>
      <c r="O3" s="397" t="s">
        <v>249</v>
      </c>
      <c r="P3" s="400" t="s">
        <v>257</v>
      </c>
      <c r="Q3" s="401" t="s">
        <v>254</v>
      </c>
      <c r="R3" s="397" t="s">
        <v>238</v>
      </c>
      <c r="S3" s="397" t="s">
        <v>239</v>
      </c>
      <c r="T3" s="397" t="s">
        <v>240</v>
      </c>
      <c r="U3" s="397" t="s">
        <v>241</v>
      </c>
      <c r="V3" s="397" t="s">
        <v>242</v>
      </c>
      <c r="W3" s="397" t="s">
        <v>243</v>
      </c>
      <c r="X3" s="397" t="s">
        <v>244</v>
      </c>
      <c r="Y3" s="397" t="s">
        <v>245</v>
      </c>
      <c r="Z3" s="397" t="s">
        <v>246</v>
      </c>
      <c r="AA3" s="397" t="s">
        <v>247</v>
      </c>
      <c r="AB3" s="397" t="s">
        <v>248</v>
      </c>
      <c r="AC3" s="397" t="s">
        <v>249</v>
      </c>
      <c r="AD3" s="400" t="s">
        <v>257</v>
      </c>
    </row>
    <row r="4" spans="1:30">
      <c r="A4" s="6">
        <v>4</v>
      </c>
      <c r="B4" s="402"/>
      <c r="C4" s="403"/>
      <c r="D4" s="294"/>
      <c r="E4" s="294"/>
      <c r="F4" s="294"/>
      <c r="G4" s="294"/>
      <c r="H4" s="294"/>
      <c r="I4" s="294"/>
      <c r="J4" s="294"/>
      <c r="K4" s="294"/>
      <c r="L4" s="294"/>
      <c r="M4" s="294"/>
      <c r="N4" s="294"/>
      <c r="O4" s="294"/>
      <c r="P4" s="280"/>
      <c r="Q4" s="315"/>
      <c r="R4" s="295"/>
      <c r="S4" s="295"/>
      <c r="T4" s="295"/>
      <c r="U4" s="295"/>
      <c r="V4" s="295"/>
      <c r="W4" s="295"/>
      <c r="X4" s="295"/>
      <c r="Y4" s="295"/>
      <c r="Z4" s="295"/>
      <c r="AA4" s="295"/>
      <c r="AB4" s="295"/>
      <c r="AC4" s="295"/>
      <c r="AD4" s="393"/>
    </row>
    <row r="5" spans="1:30">
      <c r="A5" s="6">
        <v>5</v>
      </c>
      <c r="B5" s="404" t="s">
        <v>250</v>
      </c>
      <c r="C5" s="405">
        <f>'[1]Tableau simu'!B34</f>
        <v>3000</v>
      </c>
      <c r="D5" s="406">
        <f>$C$5</f>
        <v>3000</v>
      </c>
      <c r="E5" s="295">
        <f t="shared" ref="E5:O5" si="0">$C$5</f>
        <v>3000</v>
      </c>
      <c r="F5" s="295">
        <f t="shared" si="0"/>
        <v>3000</v>
      </c>
      <c r="G5" s="295">
        <f t="shared" si="0"/>
        <v>3000</v>
      </c>
      <c r="H5" s="295">
        <f t="shared" si="0"/>
        <v>3000</v>
      </c>
      <c r="I5" s="295">
        <f>$C$5</f>
        <v>3000</v>
      </c>
      <c r="J5" s="295">
        <f t="shared" si="0"/>
        <v>3000</v>
      </c>
      <c r="K5" s="295">
        <f t="shared" si="0"/>
        <v>3000</v>
      </c>
      <c r="L5" s="295">
        <f t="shared" si="0"/>
        <v>3000</v>
      </c>
      <c r="M5" s="295">
        <f t="shared" si="0"/>
        <v>3000</v>
      </c>
      <c r="N5" s="295">
        <f t="shared" si="0"/>
        <v>3000</v>
      </c>
      <c r="O5" s="295">
        <f t="shared" si="0"/>
        <v>3000</v>
      </c>
      <c r="P5" s="393">
        <f>SUM(D5:O5)</f>
        <v>36000</v>
      </c>
      <c r="Q5" s="392">
        <v>3500</v>
      </c>
      <c r="R5" s="295">
        <f>$Q$5</f>
        <v>3500</v>
      </c>
      <c r="S5" s="295">
        <f t="shared" ref="S5:AC5" si="1">$Q$5</f>
        <v>3500</v>
      </c>
      <c r="T5" s="295">
        <f t="shared" si="1"/>
        <v>3500</v>
      </c>
      <c r="U5" s="295">
        <f t="shared" si="1"/>
        <v>3500</v>
      </c>
      <c r="V5" s="295">
        <f t="shared" si="1"/>
        <v>3500</v>
      </c>
      <c r="W5" s="295">
        <f t="shared" si="1"/>
        <v>3500</v>
      </c>
      <c r="X5" s="295">
        <f t="shared" si="1"/>
        <v>3500</v>
      </c>
      <c r="Y5" s="295">
        <f t="shared" si="1"/>
        <v>3500</v>
      </c>
      <c r="Z5" s="295">
        <f t="shared" si="1"/>
        <v>3500</v>
      </c>
      <c r="AA5" s="295">
        <f t="shared" si="1"/>
        <v>3500</v>
      </c>
      <c r="AB5" s="295">
        <f t="shared" si="1"/>
        <v>3500</v>
      </c>
      <c r="AC5" s="295">
        <f t="shared" si="1"/>
        <v>3500</v>
      </c>
      <c r="AD5" s="393">
        <f>SUM(R5:AC5)</f>
        <v>42000</v>
      </c>
    </row>
    <row r="6" spans="1:30">
      <c r="A6" s="6">
        <v>6</v>
      </c>
      <c r="B6" s="404" t="s">
        <v>130</v>
      </c>
      <c r="C6" s="405">
        <f>'[1]Tableau simu'!B35</f>
        <v>3000</v>
      </c>
      <c r="D6" s="406">
        <f>$C$6</f>
        <v>3000</v>
      </c>
      <c r="E6" s="295">
        <f t="shared" ref="E6:O6" si="2">$C$6</f>
        <v>3000</v>
      </c>
      <c r="F6" s="295">
        <f t="shared" si="2"/>
        <v>3000</v>
      </c>
      <c r="G6" s="295">
        <f t="shared" si="2"/>
        <v>3000</v>
      </c>
      <c r="H6" s="295">
        <f t="shared" si="2"/>
        <v>3000</v>
      </c>
      <c r="I6" s="295">
        <f t="shared" si="2"/>
        <v>3000</v>
      </c>
      <c r="J6" s="295">
        <f t="shared" si="2"/>
        <v>3000</v>
      </c>
      <c r="K6" s="295">
        <f t="shared" si="2"/>
        <v>3000</v>
      </c>
      <c r="L6" s="295">
        <f t="shared" si="2"/>
        <v>3000</v>
      </c>
      <c r="M6" s="295">
        <f t="shared" si="2"/>
        <v>3000</v>
      </c>
      <c r="N6" s="295">
        <f t="shared" si="2"/>
        <v>3000</v>
      </c>
      <c r="O6" s="295">
        <f t="shared" si="2"/>
        <v>3000</v>
      </c>
      <c r="P6" s="393">
        <f t="shared" ref="P6:P14" si="3">SUM(D6:O6)</f>
        <v>36000</v>
      </c>
      <c r="Q6" s="392">
        <v>3500</v>
      </c>
      <c r="R6" s="295">
        <f>$Q$6</f>
        <v>3500</v>
      </c>
      <c r="S6" s="295">
        <f t="shared" ref="S6:AC6" si="4">$Q$6</f>
        <v>3500</v>
      </c>
      <c r="T6" s="295">
        <f t="shared" si="4"/>
        <v>3500</v>
      </c>
      <c r="U6" s="295">
        <f t="shared" si="4"/>
        <v>3500</v>
      </c>
      <c r="V6" s="295">
        <f t="shared" si="4"/>
        <v>3500</v>
      </c>
      <c r="W6" s="295">
        <f t="shared" si="4"/>
        <v>3500</v>
      </c>
      <c r="X6" s="295">
        <f t="shared" si="4"/>
        <v>3500</v>
      </c>
      <c r="Y6" s="295">
        <f t="shared" si="4"/>
        <v>3500</v>
      </c>
      <c r="Z6" s="295">
        <f t="shared" si="4"/>
        <v>3500</v>
      </c>
      <c r="AA6" s="295">
        <f t="shared" si="4"/>
        <v>3500</v>
      </c>
      <c r="AB6" s="295">
        <f t="shared" si="4"/>
        <v>3500</v>
      </c>
      <c r="AC6" s="295">
        <f t="shared" si="4"/>
        <v>3500</v>
      </c>
      <c r="AD6" s="393">
        <f t="shared" ref="AD6:AD14" si="5">SUM(R6:AC6)</f>
        <v>42000</v>
      </c>
    </row>
    <row r="7" spans="1:30">
      <c r="A7" s="6">
        <v>7</v>
      </c>
      <c r="B7" s="404" t="s">
        <v>251</v>
      </c>
      <c r="C7" s="405">
        <f>'[1]Tableau simu'!B36</f>
        <v>3000</v>
      </c>
      <c r="D7" s="406">
        <f>$C$7</f>
        <v>3000</v>
      </c>
      <c r="E7" s="295">
        <f t="shared" ref="E7:O7" si="6">$C$7</f>
        <v>3000</v>
      </c>
      <c r="F7" s="295">
        <f t="shared" si="6"/>
        <v>3000</v>
      </c>
      <c r="G7" s="295">
        <f t="shared" si="6"/>
        <v>3000</v>
      </c>
      <c r="H7" s="295">
        <f t="shared" si="6"/>
        <v>3000</v>
      </c>
      <c r="I7" s="295">
        <f t="shared" si="6"/>
        <v>3000</v>
      </c>
      <c r="J7" s="295">
        <f t="shared" si="6"/>
        <v>3000</v>
      </c>
      <c r="K7" s="295">
        <f t="shared" si="6"/>
        <v>3000</v>
      </c>
      <c r="L7" s="295">
        <f t="shared" si="6"/>
        <v>3000</v>
      </c>
      <c r="M7" s="295">
        <f t="shared" si="6"/>
        <v>3000</v>
      </c>
      <c r="N7" s="295">
        <f t="shared" si="6"/>
        <v>3000</v>
      </c>
      <c r="O7" s="295">
        <f t="shared" si="6"/>
        <v>3000</v>
      </c>
      <c r="P7" s="393">
        <f t="shared" si="3"/>
        <v>36000</v>
      </c>
      <c r="Q7" s="392">
        <v>3500</v>
      </c>
      <c r="R7" s="295">
        <f>$Q$7</f>
        <v>3500</v>
      </c>
      <c r="S7" s="295">
        <f t="shared" ref="S7:AC7" si="7">$Q$7</f>
        <v>3500</v>
      </c>
      <c r="T7" s="295">
        <f t="shared" si="7"/>
        <v>3500</v>
      </c>
      <c r="U7" s="295">
        <f t="shared" si="7"/>
        <v>3500</v>
      </c>
      <c r="V7" s="295">
        <f t="shared" si="7"/>
        <v>3500</v>
      </c>
      <c r="W7" s="295">
        <f t="shared" si="7"/>
        <v>3500</v>
      </c>
      <c r="X7" s="295">
        <f t="shared" si="7"/>
        <v>3500</v>
      </c>
      <c r="Y7" s="295">
        <f t="shared" si="7"/>
        <v>3500</v>
      </c>
      <c r="Z7" s="295">
        <f t="shared" si="7"/>
        <v>3500</v>
      </c>
      <c r="AA7" s="295">
        <f t="shared" si="7"/>
        <v>3500</v>
      </c>
      <c r="AB7" s="295">
        <f t="shared" si="7"/>
        <v>3500</v>
      </c>
      <c r="AC7" s="295">
        <f t="shared" si="7"/>
        <v>3500</v>
      </c>
      <c r="AD7" s="393">
        <f t="shared" si="5"/>
        <v>42000</v>
      </c>
    </row>
    <row r="8" spans="1:30">
      <c r="A8" s="6">
        <v>8</v>
      </c>
      <c r="B8" s="404" t="s">
        <v>252</v>
      </c>
      <c r="C8" s="405">
        <f>'[1]Tableau simu'!B37</f>
        <v>1200</v>
      </c>
      <c r="D8" s="406">
        <f>$C$8</f>
        <v>1200</v>
      </c>
      <c r="E8" s="295">
        <f t="shared" ref="E8:O8" si="8">$C$8</f>
        <v>1200</v>
      </c>
      <c r="F8" s="295">
        <f t="shared" si="8"/>
        <v>1200</v>
      </c>
      <c r="G8" s="295">
        <f t="shared" si="8"/>
        <v>1200</v>
      </c>
      <c r="H8" s="295">
        <f t="shared" si="8"/>
        <v>1200</v>
      </c>
      <c r="I8" s="295">
        <f t="shared" si="8"/>
        <v>1200</v>
      </c>
      <c r="J8" s="295">
        <f t="shared" si="8"/>
        <v>1200</v>
      </c>
      <c r="K8" s="295">
        <f t="shared" si="8"/>
        <v>1200</v>
      </c>
      <c r="L8" s="295">
        <f t="shared" si="8"/>
        <v>1200</v>
      </c>
      <c r="M8" s="295">
        <f t="shared" si="8"/>
        <v>1200</v>
      </c>
      <c r="N8" s="295">
        <f t="shared" si="8"/>
        <v>1200</v>
      </c>
      <c r="O8" s="295">
        <f t="shared" si="8"/>
        <v>1200</v>
      </c>
      <c r="P8" s="393">
        <f t="shared" si="3"/>
        <v>14400</v>
      </c>
      <c r="Q8" s="392">
        <v>1500</v>
      </c>
      <c r="R8" s="295">
        <f>$Q$8</f>
        <v>1500</v>
      </c>
      <c r="S8" s="295">
        <f t="shared" ref="S8:AC8" si="9">$Q$8</f>
        <v>1500</v>
      </c>
      <c r="T8" s="295">
        <f t="shared" si="9"/>
        <v>1500</v>
      </c>
      <c r="U8" s="295">
        <f t="shared" si="9"/>
        <v>1500</v>
      </c>
      <c r="V8" s="295">
        <f t="shared" si="9"/>
        <v>1500</v>
      </c>
      <c r="W8" s="295">
        <f t="shared" si="9"/>
        <v>1500</v>
      </c>
      <c r="X8" s="295">
        <f t="shared" si="9"/>
        <v>1500</v>
      </c>
      <c r="Y8" s="295">
        <f t="shared" si="9"/>
        <v>1500</v>
      </c>
      <c r="Z8" s="295">
        <f t="shared" si="9"/>
        <v>1500</v>
      </c>
      <c r="AA8" s="295">
        <f t="shared" si="9"/>
        <v>1500</v>
      </c>
      <c r="AB8" s="295">
        <f t="shared" si="9"/>
        <v>1500</v>
      </c>
      <c r="AC8" s="295">
        <f t="shared" si="9"/>
        <v>1500</v>
      </c>
      <c r="AD8" s="393">
        <f t="shared" si="5"/>
        <v>18000</v>
      </c>
    </row>
    <row r="9" spans="1:30">
      <c r="A9" s="6">
        <v>9</v>
      </c>
      <c r="B9" s="404" t="s">
        <v>411</v>
      </c>
      <c r="C9" s="405"/>
      <c r="D9" s="295"/>
      <c r="E9" s="295"/>
      <c r="F9" s="295"/>
      <c r="G9" s="295"/>
      <c r="H9" s="295"/>
      <c r="I9" s="295"/>
      <c r="J9" s="295"/>
      <c r="K9" s="295"/>
      <c r="L9" s="295"/>
      <c r="M9" s="295"/>
      <c r="N9" s="295"/>
      <c r="O9" s="295"/>
      <c r="P9" s="393"/>
      <c r="Q9" s="392">
        <v>2800</v>
      </c>
      <c r="R9" s="394">
        <f>$Q$9</f>
        <v>2800</v>
      </c>
      <c r="S9" s="395">
        <f t="shared" ref="S9:AC9" si="10">$Q$9</f>
        <v>2800</v>
      </c>
      <c r="T9" s="395">
        <f t="shared" si="10"/>
        <v>2800</v>
      </c>
      <c r="U9" s="395">
        <f t="shared" si="10"/>
        <v>2800</v>
      </c>
      <c r="V9" s="395">
        <f t="shared" si="10"/>
        <v>2800</v>
      </c>
      <c r="W9" s="395">
        <f t="shared" si="10"/>
        <v>2800</v>
      </c>
      <c r="X9" s="395">
        <f t="shared" si="10"/>
        <v>2800</v>
      </c>
      <c r="Y9" s="395">
        <f t="shared" si="10"/>
        <v>2800</v>
      </c>
      <c r="Z9" s="395">
        <f t="shared" si="10"/>
        <v>2800</v>
      </c>
      <c r="AA9" s="395">
        <f t="shared" si="10"/>
        <v>2800</v>
      </c>
      <c r="AB9" s="395">
        <f t="shared" si="10"/>
        <v>2800</v>
      </c>
      <c r="AC9" s="395">
        <f t="shared" si="10"/>
        <v>2800</v>
      </c>
      <c r="AD9" s="393">
        <f t="shared" si="5"/>
        <v>33600</v>
      </c>
    </row>
    <row r="10" spans="1:30">
      <c r="A10" s="6">
        <v>10</v>
      </c>
      <c r="B10" s="404" t="s">
        <v>132</v>
      </c>
      <c r="C10" s="405">
        <f>'[1]Tableau simu'!B39</f>
        <v>3000</v>
      </c>
      <c r="D10" s="406">
        <f>$C$10</f>
        <v>3000</v>
      </c>
      <c r="E10" s="295">
        <f t="shared" ref="E10:O10" si="11">$C$10</f>
        <v>3000</v>
      </c>
      <c r="F10" s="295">
        <f t="shared" si="11"/>
        <v>3000</v>
      </c>
      <c r="G10" s="295">
        <f t="shared" si="11"/>
        <v>3000</v>
      </c>
      <c r="H10" s="295">
        <f t="shared" si="11"/>
        <v>3000</v>
      </c>
      <c r="I10" s="295">
        <f t="shared" si="11"/>
        <v>3000</v>
      </c>
      <c r="J10" s="295">
        <f t="shared" si="11"/>
        <v>3000</v>
      </c>
      <c r="K10" s="295">
        <f t="shared" si="11"/>
        <v>3000</v>
      </c>
      <c r="L10" s="295">
        <f t="shared" si="11"/>
        <v>3000</v>
      </c>
      <c r="M10" s="295">
        <f t="shared" si="11"/>
        <v>3000</v>
      </c>
      <c r="N10" s="295">
        <f t="shared" si="11"/>
        <v>3000</v>
      </c>
      <c r="O10" s="295">
        <f t="shared" si="11"/>
        <v>3000</v>
      </c>
      <c r="P10" s="393">
        <f t="shared" si="3"/>
        <v>36000</v>
      </c>
      <c r="Q10" s="392">
        <v>3500</v>
      </c>
      <c r="R10" s="395">
        <f>$Q$10</f>
        <v>3500</v>
      </c>
      <c r="S10" s="394">
        <f>$Q$10*2</f>
        <v>7000</v>
      </c>
      <c r="T10" s="396">
        <f t="shared" ref="T10:AC10" si="12">$Q$10*2</f>
        <v>7000</v>
      </c>
      <c r="U10" s="396">
        <f t="shared" si="12"/>
        <v>7000</v>
      </c>
      <c r="V10" s="396">
        <f t="shared" si="12"/>
        <v>7000</v>
      </c>
      <c r="W10" s="396">
        <f t="shared" si="12"/>
        <v>7000</v>
      </c>
      <c r="X10" s="396">
        <f t="shared" si="12"/>
        <v>7000</v>
      </c>
      <c r="Y10" s="396">
        <f t="shared" si="12"/>
        <v>7000</v>
      </c>
      <c r="Z10" s="396">
        <f t="shared" si="12"/>
        <v>7000</v>
      </c>
      <c r="AA10" s="396">
        <f t="shared" si="12"/>
        <v>7000</v>
      </c>
      <c r="AB10" s="396">
        <f t="shared" si="12"/>
        <v>7000</v>
      </c>
      <c r="AC10" s="396">
        <f t="shared" si="12"/>
        <v>7000</v>
      </c>
      <c r="AD10" s="393">
        <f t="shared" si="5"/>
        <v>80500</v>
      </c>
    </row>
    <row r="11" spans="1:30">
      <c r="A11" s="6">
        <v>11</v>
      </c>
      <c r="B11" s="404" t="s">
        <v>150</v>
      </c>
      <c r="C11" s="405">
        <f>'[1]Tableau simu'!B40</f>
        <v>2500</v>
      </c>
      <c r="D11" s="295"/>
      <c r="E11" s="295"/>
      <c r="F11" s="295"/>
      <c r="G11" s="406">
        <f>$C$11</f>
        <v>2500</v>
      </c>
      <c r="H11" s="295">
        <f t="shared" ref="H11:O11" si="13">$C$11</f>
        <v>2500</v>
      </c>
      <c r="I11" s="295">
        <f t="shared" si="13"/>
        <v>2500</v>
      </c>
      <c r="J11" s="295">
        <f t="shared" si="13"/>
        <v>2500</v>
      </c>
      <c r="K11" s="295">
        <f t="shared" si="13"/>
        <v>2500</v>
      </c>
      <c r="L11" s="295">
        <f t="shared" si="13"/>
        <v>2500</v>
      </c>
      <c r="M11" s="295">
        <f t="shared" si="13"/>
        <v>2500</v>
      </c>
      <c r="N11" s="295">
        <f t="shared" si="13"/>
        <v>2500</v>
      </c>
      <c r="O11" s="295">
        <f t="shared" si="13"/>
        <v>2500</v>
      </c>
      <c r="P11" s="393">
        <f t="shared" si="3"/>
        <v>22500</v>
      </c>
      <c r="Q11" s="392">
        <v>2800</v>
      </c>
      <c r="R11" s="395">
        <f>$Q$11</f>
        <v>2800</v>
      </c>
      <c r="S11" s="395">
        <f t="shared" ref="S11:V11" si="14">$Q$11</f>
        <v>2800</v>
      </c>
      <c r="T11" s="395">
        <f t="shared" si="14"/>
        <v>2800</v>
      </c>
      <c r="U11" s="395">
        <f t="shared" si="14"/>
        <v>2800</v>
      </c>
      <c r="V11" s="395">
        <f t="shared" si="14"/>
        <v>2800</v>
      </c>
      <c r="W11" s="394">
        <f>$Q$11*2</f>
        <v>5600</v>
      </c>
      <c r="X11" s="396">
        <f t="shared" ref="X11:AC11" si="15">$Q$11*2</f>
        <v>5600</v>
      </c>
      <c r="Y11" s="396">
        <f t="shared" si="15"/>
        <v>5600</v>
      </c>
      <c r="Z11" s="396">
        <f t="shared" si="15"/>
        <v>5600</v>
      </c>
      <c r="AA11" s="396">
        <f t="shared" si="15"/>
        <v>5600</v>
      </c>
      <c r="AB11" s="396">
        <f t="shared" si="15"/>
        <v>5600</v>
      </c>
      <c r="AC11" s="396">
        <f t="shared" si="15"/>
        <v>5600</v>
      </c>
      <c r="AD11" s="393">
        <f t="shared" si="5"/>
        <v>53200</v>
      </c>
    </row>
    <row r="12" spans="1:30">
      <c r="A12" s="6">
        <v>12</v>
      </c>
      <c r="B12" s="404" t="s">
        <v>256</v>
      </c>
      <c r="C12" s="405">
        <f>'[1]Tableau simu'!B41</f>
        <v>2800</v>
      </c>
      <c r="D12" s="295"/>
      <c r="E12" s="295"/>
      <c r="F12" s="295"/>
      <c r="G12" s="295"/>
      <c r="H12" s="406">
        <f>$C$12*2</f>
        <v>5600</v>
      </c>
      <c r="I12" s="295">
        <f t="shared" ref="I12:O12" si="16">$C$12*2</f>
        <v>5600</v>
      </c>
      <c r="J12" s="295">
        <f t="shared" si="16"/>
        <v>5600</v>
      </c>
      <c r="K12" s="295">
        <f t="shared" si="16"/>
        <v>5600</v>
      </c>
      <c r="L12" s="295">
        <f t="shared" si="16"/>
        <v>5600</v>
      </c>
      <c r="M12" s="295">
        <f t="shared" si="16"/>
        <v>5600</v>
      </c>
      <c r="N12" s="295">
        <f t="shared" si="16"/>
        <v>5600</v>
      </c>
      <c r="O12" s="295">
        <f t="shared" si="16"/>
        <v>5600</v>
      </c>
      <c r="P12" s="393">
        <f t="shared" si="3"/>
        <v>44800</v>
      </c>
      <c r="Q12" s="392">
        <v>3000</v>
      </c>
      <c r="R12" s="395">
        <f>$Q$12*2</f>
        <v>6000</v>
      </c>
      <c r="S12" s="395">
        <f t="shared" ref="S12:U12" si="17">$Q$12*2</f>
        <v>6000</v>
      </c>
      <c r="T12" s="395">
        <f t="shared" si="17"/>
        <v>6000</v>
      </c>
      <c r="U12" s="395">
        <f t="shared" si="17"/>
        <v>6000</v>
      </c>
      <c r="V12" s="394">
        <f>$Q$12*3</f>
        <v>9000</v>
      </c>
      <c r="W12" s="396">
        <f>$Q$12*3</f>
        <v>9000</v>
      </c>
      <c r="X12" s="396">
        <f t="shared" ref="X12:AC12" si="18">$Q$12*3</f>
        <v>9000</v>
      </c>
      <c r="Y12" s="396">
        <f t="shared" si="18"/>
        <v>9000</v>
      </c>
      <c r="Z12" s="396">
        <f t="shared" si="18"/>
        <v>9000</v>
      </c>
      <c r="AA12" s="396">
        <f t="shared" si="18"/>
        <v>9000</v>
      </c>
      <c r="AB12" s="396">
        <f t="shared" si="18"/>
        <v>9000</v>
      </c>
      <c r="AC12" s="396">
        <f t="shared" si="18"/>
        <v>9000</v>
      </c>
      <c r="AD12" s="393">
        <f t="shared" si="5"/>
        <v>96000</v>
      </c>
    </row>
    <row r="13" spans="1:30">
      <c r="A13" s="6">
        <v>13</v>
      </c>
      <c r="B13" s="404" t="s">
        <v>135</v>
      </c>
      <c r="C13" s="405">
        <f>'[1]Tableau simu'!B42</f>
        <v>1500</v>
      </c>
      <c r="D13" s="295"/>
      <c r="E13" s="295"/>
      <c r="F13" s="295"/>
      <c r="G13" s="295"/>
      <c r="H13" s="406">
        <f>$C$13</f>
        <v>1500</v>
      </c>
      <c r="I13" s="295">
        <f>$C$13</f>
        <v>1500</v>
      </c>
      <c r="J13" s="406">
        <f t="shared" ref="J13:O13" si="19">$C$13*2</f>
        <v>3000</v>
      </c>
      <c r="K13" s="295">
        <f t="shared" si="19"/>
        <v>3000</v>
      </c>
      <c r="L13" s="295">
        <f t="shared" si="19"/>
        <v>3000</v>
      </c>
      <c r="M13" s="295">
        <f t="shared" si="19"/>
        <v>3000</v>
      </c>
      <c r="N13" s="295">
        <f t="shared" si="19"/>
        <v>3000</v>
      </c>
      <c r="O13" s="295">
        <f t="shared" si="19"/>
        <v>3000</v>
      </c>
      <c r="P13" s="393">
        <f t="shared" si="3"/>
        <v>21000</v>
      </c>
      <c r="Q13" s="392">
        <v>2000</v>
      </c>
      <c r="R13" s="395">
        <f>$Q$13*2</f>
        <v>4000</v>
      </c>
      <c r="S13" s="395">
        <f t="shared" ref="S13:V13" si="20">$Q$13*2</f>
        <v>4000</v>
      </c>
      <c r="T13" s="395">
        <f t="shared" si="20"/>
        <v>4000</v>
      </c>
      <c r="U13" s="395">
        <f t="shared" si="20"/>
        <v>4000</v>
      </c>
      <c r="V13" s="395">
        <f t="shared" si="20"/>
        <v>4000</v>
      </c>
      <c r="W13" s="394">
        <f>$Q$13*3</f>
        <v>6000</v>
      </c>
      <c r="X13" s="396">
        <f t="shared" ref="X13:AC13" si="21">$Q$13*3</f>
        <v>6000</v>
      </c>
      <c r="Y13" s="396">
        <f t="shared" si="21"/>
        <v>6000</v>
      </c>
      <c r="Z13" s="396">
        <f t="shared" si="21"/>
        <v>6000</v>
      </c>
      <c r="AA13" s="396">
        <f t="shared" si="21"/>
        <v>6000</v>
      </c>
      <c r="AB13" s="396">
        <f t="shared" si="21"/>
        <v>6000</v>
      </c>
      <c r="AC13" s="396">
        <f t="shared" si="21"/>
        <v>6000</v>
      </c>
      <c r="AD13" s="393">
        <f t="shared" si="5"/>
        <v>62000</v>
      </c>
    </row>
    <row r="14" spans="1:30">
      <c r="A14" s="6">
        <v>14</v>
      </c>
      <c r="B14" s="407" t="s">
        <v>269</v>
      </c>
      <c r="C14" s="408">
        <f>'[1]Tableau simu'!B43</f>
        <v>0</v>
      </c>
      <c r="D14" s="295"/>
      <c r="E14" s="295"/>
      <c r="F14" s="295"/>
      <c r="G14" s="295"/>
      <c r="H14" s="308">
        <f>$C$14</f>
        <v>0</v>
      </c>
      <c r="I14" s="308">
        <f t="shared" ref="I14:O14" si="22">$C$14</f>
        <v>0</v>
      </c>
      <c r="J14" s="308">
        <f t="shared" si="22"/>
        <v>0</v>
      </c>
      <c r="K14" s="308">
        <f t="shared" si="22"/>
        <v>0</v>
      </c>
      <c r="L14" s="308">
        <f t="shared" si="22"/>
        <v>0</v>
      </c>
      <c r="M14" s="308">
        <f t="shared" si="22"/>
        <v>0</v>
      </c>
      <c r="N14" s="308">
        <f t="shared" si="22"/>
        <v>0</v>
      </c>
      <c r="O14" s="308">
        <f t="shared" si="22"/>
        <v>0</v>
      </c>
      <c r="P14" s="409">
        <f t="shared" si="3"/>
        <v>0</v>
      </c>
      <c r="Q14" s="295">
        <f>'[1]Tableau simu'!C43</f>
        <v>0</v>
      </c>
      <c r="R14" s="295">
        <f>$Q14</f>
        <v>0</v>
      </c>
      <c r="S14" s="295">
        <f t="shared" ref="S14:AC14" si="23">$Q14</f>
        <v>0</v>
      </c>
      <c r="T14" s="295">
        <f t="shared" si="23"/>
        <v>0</v>
      </c>
      <c r="U14" s="295">
        <f t="shared" si="23"/>
        <v>0</v>
      </c>
      <c r="V14" s="295">
        <f t="shared" si="23"/>
        <v>0</v>
      </c>
      <c r="W14" s="295">
        <f t="shared" si="23"/>
        <v>0</v>
      </c>
      <c r="X14" s="295">
        <f t="shared" si="23"/>
        <v>0</v>
      </c>
      <c r="Y14" s="295">
        <f t="shared" si="23"/>
        <v>0</v>
      </c>
      <c r="Z14" s="295">
        <f t="shared" si="23"/>
        <v>0</v>
      </c>
      <c r="AA14" s="295">
        <f t="shared" si="23"/>
        <v>0</v>
      </c>
      <c r="AB14" s="295">
        <f t="shared" si="23"/>
        <v>0</v>
      </c>
      <c r="AC14" s="295">
        <f t="shared" si="23"/>
        <v>0</v>
      </c>
      <c r="AD14" s="393">
        <f t="shared" si="5"/>
        <v>0</v>
      </c>
    </row>
    <row r="15" spans="1:30" ht="13.5" thickBot="1">
      <c r="A15" s="6">
        <v>15</v>
      </c>
      <c r="B15" s="410" t="s">
        <v>258</v>
      </c>
      <c r="C15" s="411"/>
      <c r="D15" s="412">
        <f>SUM(D5:D14)</f>
        <v>13200</v>
      </c>
      <c r="E15" s="412">
        <f t="shared" ref="E15:O15" si="24">SUM(E5:E14)</f>
        <v>13200</v>
      </c>
      <c r="F15" s="412">
        <f t="shared" si="24"/>
        <v>13200</v>
      </c>
      <c r="G15" s="412">
        <f t="shared" si="24"/>
        <v>15700</v>
      </c>
      <c r="H15" s="412">
        <f t="shared" si="24"/>
        <v>22800</v>
      </c>
      <c r="I15" s="412">
        <f t="shared" si="24"/>
        <v>22800</v>
      </c>
      <c r="J15" s="412">
        <f t="shared" si="24"/>
        <v>24300</v>
      </c>
      <c r="K15" s="412">
        <f t="shared" si="24"/>
        <v>24300</v>
      </c>
      <c r="L15" s="412">
        <f t="shared" si="24"/>
        <v>24300</v>
      </c>
      <c r="M15" s="412">
        <f t="shared" si="24"/>
        <v>24300</v>
      </c>
      <c r="N15" s="412">
        <f t="shared" si="24"/>
        <v>24300</v>
      </c>
      <c r="O15" s="412">
        <f t="shared" si="24"/>
        <v>24300</v>
      </c>
      <c r="P15" s="160">
        <f>SUM(P5:P14)</f>
        <v>246700</v>
      </c>
      <c r="Q15" s="412"/>
      <c r="R15" s="412">
        <f t="shared" ref="R15:AD15" si="25">SUM(R5:R14)</f>
        <v>31100</v>
      </c>
      <c r="S15" s="412">
        <f t="shared" si="25"/>
        <v>34600</v>
      </c>
      <c r="T15" s="412">
        <f t="shared" si="25"/>
        <v>34600</v>
      </c>
      <c r="U15" s="412">
        <f t="shared" si="25"/>
        <v>34600</v>
      </c>
      <c r="V15" s="412">
        <f t="shared" si="25"/>
        <v>37600</v>
      </c>
      <c r="W15" s="412">
        <f t="shared" si="25"/>
        <v>42400</v>
      </c>
      <c r="X15" s="412">
        <f t="shared" si="25"/>
        <v>42400</v>
      </c>
      <c r="Y15" s="412">
        <f t="shared" si="25"/>
        <v>42400</v>
      </c>
      <c r="Z15" s="412">
        <f t="shared" si="25"/>
        <v>42400</v>
      </c>
      <c r="AA15" s="412">
        <f t="shared" si="25"/>
        <v>42400</v>
      </c>
      <c r="AB15" s="412">
        <f t="shared" si="25"/>
        <v>42400</v>
      </c>
      <c r="AC15" s="412">
        <f t="shared" si="25"/>
        <v>42400</v>
      </c>
      <c r="AD15" s="413">
        <f t="shared" si="25"/>
        <v>469300</v>
      </c>
    </row>
    <row r="16" spans="1:30">
      <c r="A16" s="101" t="s">
        <v>444</v>
      </c>
    </row>
  </sheetData>
  <mergeCells count="2">
    <mergeCell ref="C2:P2"/>
    <mergeCell ref="Q2:AD2"/>
  </mergeCells>
  <phoneticPr fontId="9" type="noConversion"/>
  <printOptions headings="1" gridLines="1"/>
  <pageMargins left="0.78740157499999996" right="0.78740157499999996" top="0.984251969" bottom="0.984251969" header="0.4921259845" footer="0.492125984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W37"/>
  <sheetViews>
    <sheetView topLeftCell="A4" workbookViewId="0">
      <selection activeCell="W7" sqref="W7"/>
    </sheetView>
  </sheetViews>
  <sheetFormatPr baseColWidth="10" defaultRowHeight="12.75"/>
  <cols>
    <col min="1" max="1" width="3" bestFit="1" customWidth="1"/>
    <col min="2" max="2" width="32" bestFit="1" customWidth="1"/>
    <col min="3" max="3" width="5.28515625" bestFit="1" customWidth="1"/>
    <col min="4" max="4" width="5" bestFit="1" customWidth="1"/>
    <col min="5" max="5" width="5.42578125" bestFit="1" customWidth="1"/>
    <col min="6" max="6" width="5.28515625" bestFit="1" customWidth="1"/>
    <col min="7" max="7" width="4.140625" bestFit="1" customWidth="1"/>
    <col min="8" max="8" width="7.42578125" bestFit="1" customWidth="1"/>
    <col min="9" max="9" width="5.140625" bestFit="1" customWidth="1"/>
    <col min="10" max="10" width="4.140625" bestFit="1" customWidth="1"/>
    <col min="11" max="11" width="5.42578125" style="33" bestFit="1" customWidth="1"/>
    <col min="12" max="12" width="7.42578125" style="33" bestFit="1" customWidth="1"/>
    <col min="13" max="13" width="5.140625" style="33" bestFit="1" customWidth="1"/>
    <col min="14" max="14" width="4.7109375" style="33" customWidth="1"/>
    <col min="15" max="15" width="5.42578125" style="33" bestFit="1" customWidth="1"/>
    <col min="16" max="16" width="7.42578125" bestFit="1" customWidth="1"/>
    <col min="17" max="17" width="4.140625" bestFit="1" customWidth="1"/>
    <col min="18" max="18" width="7.42578125" bestFit="1" customWidth="1"/>
    <col min="19" max="19" width="5.7109375" bestFit="1" customWidth="1"/>
    <col min="20" max="20" width="4.140625" bestFit="1" customWidth="1"/>
    <col min="21" max="21" width="5.42578125" bestFit="1" customWidth="1"/>
    <col min="22" max="22" width="8.140625" bestFit="1" customWidth="1"/>
  </cols>
  <sheetData>
    <row r="1" spans="1:22">
      <c r="A1" s="6">
        <v>1</v>
      </c>
      <c r="B1" s="6" t="s">
        <v>613</v>
      </c>
      <c r="C1" s="6" t="s">
        <v>614</v>
      </c>
      <c r="D1" s="6" t="s">
        <v>331</v>
      </c>
      <c r="E1" s="6" t="s">
        <v>615</v>
      </c>
      <c r="F1" s="6" t="s">
        <v>325</v>
      </c>
      <c r="G1" s="6" t="s">
        <v>616</v>
      </c>
      <c r="H1" s="6" t="s">
        <v>617</v>
      </c>
      <c r="I1" s="6" t="s">
        <v>618</v>
      </c>
      <c r="J1" s="6" t="s">
        <v>324</v>
      </c>
      <c r="K1" s="391" t="s">
        <v>619</v>
      </c>
      <c r="L1" s="390" t="s">
        <v>620</v>
      </c>
      <c r="M1" s="390" t="s">
        <v>326</v>
      </c>
      <c r="N1" s="390" t="s">
        <v>330</v>
      </c>
      <c r="O1" s="390" t="s">
        <v>329</v>
      </c>
      <c r="P1" s="390" t="s">
        <v>621</v>
      </c>
      <c r="Q1" s="390" t="s">
        <v>622</v>
      </c>
      <c r="R1" s="390" t="s">
        <v>623</v>
      </c>
      <c r="S1" s="390" t="s">
        <v>328</v>
      </c>
      <c r="T1" s="390" t="s">
        <v>624</v>
      </c>
      <c r="U1" s="390" t="s">
        <v>625</v>
      </c>
      <c r="V1" s="390" t="s">
        <v>626</v>
      </c>
    </row>
    <row r="2" spans="1:22">
      <c r="A2" s="6">
        <v>2</v>
      </c>
      <c r="B2" s="162"/>
      <c r="C2" s="471" t="s">
        <v>168</v>
      </c>
      <c r="D2" s="471"/>
      <c r="E2" s="471"/>
      <c r="F2" s="471"/>
      <c r="G2" s="471"/>
      <c r="H2" s="471"/>
      <c r="I2" s="471"/>
      <c r="J2" s="471"/>
      <c r="K2" s="471"/>
      <c r="L2" s="293"/>
      <c r="M2" s="471" t="s">
        <v>432</v>
      </c>
      <c r="N2" s="471"/>
      <c r="O2" s="471"/>
      <c r="P2" s="471"/>
      <c r="Q2" s="471"/>
      <c r="R2" s="471"/>
      <c r="S2" s="471"/>
      <c r="T2" s="471"/>
      <c r="U2" s="471"/>
      <c r="V2" s="293"/>
    </row>
    <row r="3" spans="1:22" ht="38.25" customHeight="1">
      <c r="A3" s="6">
        <v>3</v>
      </c>
      <c r="B3" s="309" t="s">
        <v>170</v>
      </c>
      <c r="C3" s="472" t="s">
        <v>173</v>
      </c>
      <c r="D3" s="472"/>
      <c r="E3" s="472"/>
      <c r="F3" s="473" t="s">
        <v>437</v>
      </c>
      <c r="G3" s="473"/>
      <c r="H3" s="473"/>
      <c r="I3" s="473" t="s">
        <v>174</v>
      </c>
      <c r="J3" s="473"/>
      <c r="K3" s="473"/>
      <c r="L3" s="310" t="s">
        <v>257</v>
      </c>
      <c r="M3" s="472" t="s">
        <v>173</v>
      </c>
      <c r="N3" s="472"/>
      <c r="O3" s="472"/>
      <c r="P3" s="473" t="s">
        <v>437</v>
      </c>
      <c r="Q3" s="473"/>
      <c r="R3" s="473"/>
      <c r="S3" s="473" t="s">
        <v>174</v>
      </c>
      <c r="T3" s="473"/>
      <c r="U3" s="473"/>
      <c r="V3" s="310" t="s">
        <v>257</v>
      </c>
    </row>
    <row r="4" spans="1:22">
      <c r="A4" s="6">
        <v>4</v>
      </c>
      <c r="B4" s="162"/>
      <c r="C4" s="295" t="s">
        <v>169</v>
      </c>
      <c r="D4" s="295" t="s">
        <v>172</v>
      </c>
      <c r="E4" s="295" t="s">
        <v>171</v>
      </c>
      <c r="F4" s="295" t="s">
        <v>169</v>
      </c>
      <c r="G4" s="295" t="s">
        <v>172</v>
      </c>
      <c r="H4" s="295" t="s">
        <v>171</v>
      </c>
      <c r="I4" s="295" t="s">
        <v>169</v>
      </c>
      <c r="J4" s="295" t="s">
        <v>172</v>
      </c>
      <c r="K4" s="295" t="s">
        <v>171</v>
      </c>
      <c r="L4" s="295" t="s">
        <v>257</v>
      </c>
      <c r="M4" s="295" t="s">
        <v>169</v>
      </c>
      <c r="N4" s="295" t="s">
        <v>172</v>
      </c>
      <c r="O4" s="295" t="s">
        <v>171</v>
      </c>
      <c r="P4" s="295" t="s">
        <v>169</v>
      </c>
      <c r="Q4" s="295" t="s">
        <v>172</v>
      </c>
      <c r="R4" s="295" t="s">
        <v>171</v>
      </c>
      <c r="S4" s="295" t="s">
        <v>169</v>
      </c>
      <c r="T4" s="295" t="s">
        <v>172</v>
      </c>
      <c r="U4" s="295" t="s">
        <v>171</v>
      </c>
      <c r="V4" s="295" t="s">
        <v>257</v>
      </c>
    </row>
    <row r="5" spans="1:22">
      <c r="A5" s="6">
        <v>5</v>
      </c>
      <c r="B5" s="219" t="s">
        <v>60</v>
      </c>
      <c r="C5" s="295"/>
      <c r="D5" s="295"/>
      <c r="E5" s="295"/>
      <c r="F5" s="295"/>
      <c r="G5" s="295"/>
      <c r="H5" s="295"/>
      <c r="I5" s="295"/>
      <c r="J5" s="295"/>
      <c r="K5" s="295"/>
      <c r="L5" s="295"/>
      <c r="M5" s="295"/>
      <c r="N5" s="295"/>
      <c r="O5" s="295"/>
      <c r="P5" s="295"/>
      <c r="Q5" s="295"/>
      <c r="R5" s="295"/>
      <c r="S5" s="295"/>
      <c r="T5" s="295"/>
      <c r="U5" s="295"/>
      <c r="V5" s="295"/>
    </row>
    <row r="6" spans="1:22">
      <c r="A6" s="6">
        <v>6</v>
      </c>
      <c r="B6" s="294" t="s">
        <v>159</v>
      </c>
      <c r="C6" s="294"/>
      <c r="D6" s="294"/>
      <c r="E6" s="294"/>
      <c r="F6" s="311">
        <v>2500</v>
      </c>
      <c r="G6" s="311">
        <v>12</v>
      </c>
      <c r="H6" s="302">
        <f>(F6/3)</f>
        <v>833.33333333333337</v>
      </c>
      <c r="I6" s="311">
        <v>200</v>
      </c>
      <c r="J6" s="311">
        <v>12</v>
      </c>
      <c r="K6" s="294">
        <f>I6/5</f>
        <v>40</v>
      </c>
      <c r="L6" s="302">
        <f>H6+K6</f>
        <v>873.33333333333337</v>
      </c>
      <c r="M6" s="294"/>
      <c r="N6" s="294"/>
      <c r="O6" s="294"/>
      <c r="P6" s="520">
        <v>0</v>
      </c>
      <c r="Q6" s="311">
        <f>G6</f>
        <v>12</v>
      </c>
      <c r="R6" s="519">
        <f>H6</f>
        <v>833.33333333333337</v>
      </c>
      <c r="S6" s="520">
        <v>0</v>
      </c>
      <c r="T6" s="311">
        <f>J6</f>
        <v>12</v>
      </c>
      <c r="U6" s="518">
        <v>40</v>
      </c>
      <c r="V6" s="519">
        <f>U6+R6</f>
        <v>873.33333333333337</v>
      </c>
    </row>
    <row r="7" spans="1:22">
      <c r="A7" s="6">
        <v>7</v>
      </c>
      <c r="B7" s="294" t="s">
        <v>160</v>
      </c>
      <c r="C7" s="294"/>
      <c r="D7" s="294"/>
      <c r="E7" s="294"/>
      <c r="F7" s="311">
        <v>2500</v>
      </c>
      <c r="G7" s="311">
        <v>12</v>
      </c>
      <c r="H7" s="302">
        <f>(F7/3)</f>
        <v>833.33333333333337</v>
      </c>
      <c r="I7" s="311">
        <v>200</v>
      </c>
      <c r="J7" s="311">
        <v>12</v>
      </c>
      <c r="K7" s="294">
        <f>I7/5</f>
        <v>40</v>
      </c>
      <c r="L7" s="302">
        <f t="shared" ref="L7:L19" si="0">H7+K7</f>
        <v>873.33333333333337</v>
      </c>
      <c r="M7" s="294"/>
      <c r="N7" s="294"/>
      <c r="O7" s="294"/>
      <c r="P7" s="520">
        <v>0</v>
      </c>
      <c r="Q7" s="311">
        <f t="shared" ref="Q7:R9" si="1">G7</f>
        <v>12</v>
      </c>
      <c r="R7" s="519">
        <f t="shared" si="1"/>
        <v>833.33333333333337</v>
      </c>
      <c r="S7" s="520">
        <v>0</v>
      </c>
      <c r="T7" s="311">
        <f t="shared" ref="T7:T9" si="2">J7</f>
        <v>12</v>
      </c>
      <c r="U7" s="518">
        <f t="shared" ref="U7:U9" si="3">K7</f>
        <v>40</v>
      </c>
      <c r="V7" s="519">
        <f t="shared" ref="V7:V22" si="4">U7+R7</f>
        <v>873.33333333333337</v>
      </c>
    </row>
    <row r="8" spans="1:22">
      <c r="A8" s="6">
        <v>8</v>
      </c>
      <c r="B8" s="294" t="s">
        <v>161</v>
      </c>
      <c r="C8" s="294"/>
      <c r="D8" s="294"/>
      <c r="E8" s="294"/>
      <c r="F8" s="311">
        <v>5000</v>
      </c>
      <c r="G8" s="311">
        <v>12</v>
      </c>
      <c r="H8" s="302">
        <f>(F8/3)</f>
        <v>1666.6666666666667</v>
      </c>
      <c r="I8" s="311">
        <v>200</v>
      </c>
      <c r="J8" s="311">
        <v>12</v>
      </c>
      <c r="K8" s="294">
        <f>I8/5</f>
        <v>40</v>
      </c>
      <c r="L8" s="302">
        <f t="shared" si="0"/>
        <v>1706.6666666666667</v>
      </c>
      <c r="M8" s="294"/>
      <c r="N8" s="294"/>
      <c r="O8" s="294"/>
      <c r="P8" s="520">
        <v>0</v>
      </c>
      <c r="Q8" s="311">
        <f t="shared" si="1"/>
        <v>12</v>
      </c>
      <c r="R8" s="519">
        <f t="shared" si="1"/>
        <v>1666.6666666666667</v>
      </c>
      <c r="S8" s="520">
        <v>0</v>
      </c>
      <c r="T8" s="311">
        <f t="shared" si="2"/>
        <v>12</v>
      </c>
      <c r="U8" s="518">
        <f t="shared" si="3"/>
        <v>40</v>
      </c>
      <c r="V8" s="519">
        <f t="shared" si="4"/>
        <v>1706.6666666666667</v>
      </c>
    </row>
    <row r="9" spans="1:22">
      <c r="A9" s="6">
        <v>9</v>
      </c>
      <c r="B9" s="294" t="s">
        <v>133</v>
      </c>
      <c r="C9" s="294"/>
      <c r="D9" s="294"/>
      <c r="E9" s="294"/>
      <c r="F9" s="311">
        <v>2500</v>
      </c>
      <c r="G9" s="311">
        <v>12</v>
      </c>
      <c r="H9" s="302">
        <f>(F9/3)</f>
        <v>833.33333333333337</v>
      </c>
      <c r="I9" s="311">
        <v>150</v>
      </c>
      <c r="J9" s="311">
        <v>12</v>
      </c>
      <c r="K9" s="294">
        <f>I9/5</f>
        <v>30</v>
      </c>
      <c r="L9" s="302">
        <f t="shared" si="0"/>
        <v>863.33333333333337</v>
      </c>
      <c r="M9" s="294"/>
      <c r="N9" s="294"/>
      <c r="O9" s="294"/>
      <c r="P9" s="520">
        <v>0</v>
      </c>
      <c r="Q9" s="311">
        <f t="shared" si="1"/>
        <v>12</v>
      </c>
      <c r="R9" s="519">
        <f t="shared" si="1"/>
        <v>833.33333333333337</v>
      </c>
      <c r="S9" s="520">
        <v>0</v>
      </c>
      <c r="T9" s="311">
        <f t="shared" si="2"/>
        <v>12</v>
      </c>
      <c r="U9" s="518">
        <f t="shared" si="3"/>
        <v>30</v>
      </c>
      <c r="V9" s="519">
        <f t="shared" si="4"/>
        <v>863.33333333333337</v>
      </c>
    </row>
    <row r="10" spans="1:22">
      <c r="A10" s="6">
        <v>10</v>
      </c>
      <c r="B10" s="294" t="s">
        <v>411</v>
      </c>
      <c r="C10" s="294"/>
      <c r="D10" s="294"/>
      <c r="E10" s="294"/>
      <c r="F10" s="311"/>
      <c r="G10" s="311"/>
      <c r="H10" s="302"/>
      <c r="I10" s="311"/>
      <c r="J10" s="311"/>
      <c r="K10" s="294"/>
      <c r="L10" s="302"/>
      <c r="M10" s="294"/>
      <c r="N10" s="294"/>
      <c r="O10" s="294"/>
      <c r="P10" s="311">
        <f>F7</f>
        <v>2500</v>
      </c>
      <c r="Q10" s="311">
        <f t="shared" ref="Q10:V10" si="5">G7</f>
        <v>12</v>
      </c>
      <c r="R10" s="519">
        <f t="shared" si="5"/>
        <v>833.33333333333337</v>
      </c>
      <c r="S10" s="311">
        <f t="shared" si="5"/>
        <v>200</v>
      </c>
      <c r="T10" s="311">
        <f>J7</f>
        <v>12</v>
      </c>
      <c r="U10" s="518">
        <f t="shared" si="5"/>
        <v>40</v>
      </c>
      <c r="V10" s="519">
        <f t="shared" si="4"/>
        <v>873.33333333333337</v>
      </c>
    </row>
    <row r="11" spans="1:22">
      <c r="A11" s="6">
        <v>11</v>
      </c>
      <c r="B11" s="294" t="s">
        <v>162</v>
      </c>
      <c r="C11" s="294"/>
      <c r="D11" s="294"/>
      <c r="E11" s="294"/>
      <c r="F11" s="311">
        <v>2500</v>
      </c>
      <c r="G11" s="311">
        <v>12</v>
      </c>
      <c r="H11" s="302">
        <f>(F11/3)</f>
        <v>833.33333333333337</v>
      </c>
      <c r="I11" s="311">
        <v>150</v>
      </c>
      <c r="J11" s="311">
        <v>12</v>
      </c>
      <c r="K11" s="294">
        <f>I11/5</f>
        <v>30</v>
      </c>
      <c r="L11" s="302">
        <f t="shared" si="0"/>
        <v>863.33333333333337</v>
      </c>
      <c r="M11" s="294"/>
      <c r="N11" s="294"/>
      <c r="O11" s="294"/>
      <c r="P11" s="520">
        <v>0</v>
      </c>
      <c r="Q11" s="311">
        <f>G11</f>
        <v>12</v>
      </c>
      <c r="R11" s="519">
        <f t="shared" ref="R11:V11" si="6">H11</f>
        <v>833.33333333333337</v>
      </c>
      <c r="S11" s="521">
        <v>0</v>
      </c>
      <c r="T11" s="311">
        <f t="shared" si="6"/>
        <v>12</v>
      </c>
      <c r="U11" s="518">
        <f t="shared" si="6"/>
        <v>30</v>
      </c>
      <c r="V11" s="519">
        <f t="shared" si="4"/>
        <v>863.33333333333337</v>
      </c>
    </row>
    <row r="12" spans="1:22">
      <c r="A12" s="6">
        <v>12</v>
      </c>
      <c r="B12" s="294" t="s">
        <v>433</v>
      </c>
      <c r="C12" s="294"/>
      <c r="D12" s="294"/>
      <c r="E12" s="294"/>
      <c r="F12" s="311"/>
      <c r="G12" s="311"/>
      <c r="H12" s="302"/>
      <c r="I12" s="311"/>
      <c r="J12" s="311"/>
      <c r="K12" s="294"/>
      <c r="L12" s="302"/>
      <c r="M12" s="294"/>
      <c r="N12" s="294"/>
      <c r="O12" s="294"/>
      <c r="P12" s="311">
        <f>F11</f>
        <v>2500</v>
      </c>
      <c r="Q12" s="311">
        <v>11</v>
      </c>
      <c r="R12" s="519">
        <f>(P12/3)*(Q12/12)</f>
        <v>763.88888888888891</v>
      </c>
      <c r="S12" s="311">
        <f t="shared" ref="Q12:V12" si="7">I11</f>
        <v>150</v>
      </c>
      <c r="T12" s="311">
        <v>11</v>
      </c>
      <c r="U12" s="518">
        <f>(S12/5)*(T12/12)</f>
        <v>27.5</v>
      </c>
      <c r="V12" s="519">
        <f t="shared" si="4"/>
        <v>791.38888888888891</v>
      </c>
    </row>
    <row r="13" spans="1:22">
      <c r="A13" s="6">
        <v>13</v>
      </c>
      <c r="B13" s="294" t="s">
        <v>163</v>
      </c>
      <c r="C13" s="294"/>
      <c r="D13" s="294"/>
      <c r="E13" s="294"/>
      <c r="F13" s="311">
        <v>5000</v>
      </c>
      <c r="G13" s="311">
        <v>9</v>
      </c>
      <c r="H13" s="302">
        <f t="shared" ref="H13:H22" si="8">(F13/3)*G13/12</f>
        <v>1250</v>
      </c>
      <c r="I13" s="311">
        <v>150</v>
      </c>
      <c r="J13" s="311">
        <v>9</v>
      </c>
      <c r="K13" s="294">
        <f>(I13/5)*9/12</f>
        <v>22.5</v>
      </c>
      <c r="L13" s="302">
        <f t="shared" si="0"/>
        <v>1272.5</v>
      </c>
      <c r="M13" s="294"/>
      <c r="N13" s="294"/>
      <c r="O13" s="294"/>
      <c r="P13" s="520">
        <f t="shared" ref="P13:P14" si="9">F12</f>
        <v>0</v>
      </c>
      <c r="Q13" s="311">
        <v>12</v>
      </c>
      <c r="R13" s="519">
        <f>F13/3</f>
        <v>1666.6666666666667</v>
      </c>
      <c r="S13" s="521">
        <v>0</v>
      </c>
      <c r="T13" s="311">
        <v>12</v>
      </c>
      <c r="U13" s="518">
        <f>I13/5</f>
        <v>30</v>
      </c>
      <c r="V13" s="519">
        <f t="shared" si="4"/>
        <v>1696.6666666666667</v>
      </c>
    </row>
    <row r="14" spans="1:22">
      <c r="A14" s="6">
        <v>14</v>
      </c>
      <c r="B14" s="294" t="s">
        <v>434</v>
      </c>
      <c r="C14" s="294"/>
      <c r="D14" s="294"/>
      <c r="E14" s="294"/>
      <c r="F14" s="311"/>
      <c r="G14" s="311"/>
      <c r="H14" s="302"/>
      <c r="I14" s="311"/>
      <c r="J14" s="311"/>
      <c r="K14" s="294"/>
      <c r="L14" s="302"/>
      <c r="M14" s="294"/>
      <c r="N14" s="294"/>
      <c r="O14" s="294"/>
      <c r="P14" s="311">
        <f t="shared" si="9"/>
        <v>5000</v>
      </c>
      <c r="Q14" s="311">
        <v>7</v>
      </c>
      <c r="R14" s="519">
        <f>(P14/3)*(Q14/12)</f>
        <v>972.22222222222229</v>
      </c>
      <c r="S14" s="311">
        <f t="shared" ref="S14" si="10">I13</f>
        <v>150</v>
      </c>
      <c r="T14" s="311">
        <v>7</v>
      </c>
      <c r="U14" s="518">
        <f>(S14/5)*(T14/12)</f>
        <v>17.5</v>
      </c>
      <c r="V14" s="519">
        <f t="shared" si="4"/>
        <v>989.72222222222229</v>
      </c>
    </row>
    <row r="15" spans="1:22">
      <c r="A15" s="6">
        <v>15</v>
      </c>
      <c r="B15" s="294" t="s">
        <v>164</v>
      </c>
      <c r="C15" s="294"/>
      <c r="D15" s="294"/>
      <c r="E15" s="294"/>
      <c r="F15" s="311">
        <v>5000</v>
      </c>
      <c r="G15" s="311">
        <v>8</v>
      </c>
      <c r="H15" s="302">
        <f t="shared" si="8"/>
        <v>1111.1111111111111</v>
      </c>
      <c r="I15" s="311">
        <v>150</v>
      </c>
      <c r="J15" s="311">
        <v>8</v>
      </c>
      <c r="K15" s="294">
        <f>(I15/5)*8/12</f>
        <v>20</v>
      </c>
      <c r="L15" s="302">
        <f t="shared" si="0"/>
        <v>1131.1111111111111</v>
      </c>
      <c r="M15" s="294"/>
      <c r="N15" s="294"/>
      <c r="O15" s="294"/>
      <c r="P15" s="520">
        <v>0</v>
      </c>
      <c r="Q15" s="311">
        <v>12</v>
      </c>
      <c r="R15" s="519">
        <f>F15/3</f>
        <v>1666.6666666666667</v>
      </c>
      <c r="S15" s="521">
        <v>0</v>
      </c>
      <c r="T15" s="311">
        <v>12</v>
      </c>
      <c r="U15" s="518">
        <f>I15/5</f>
        <v>30</v>
      </c>
      <c r="V15" s="519">
        <f t="shared" si="4"/>
        <v>1696.6666666666667</v>
      </c>
    </row>
    <row r="16" spans="1:22">
      <c r="A16" s="6">
        <v>16</v>
      </c>
      <c r="B16" s="294" t="s">
        <v>165</v>
      </c>
      <c r="C16" s="294"/>
      <c r="D16" s="294"/>
      <c r="E16" s="294"/>
      <c r="F16" s="311">
        <v>5000</v>
      </c>
      <c r="G16" s="311">
        <v>8</v>
      </c>
      <c r="H16" s="302">
        <f t="shared" si="8"/>
        <v>1111.1111111111111</v>
      </c>
      <c r="I16" s="311">
        <v>150</v>
      </c>
      <c r="J16" s="311">
        <v>8</v>
      </c>
      <c r="K16" s="294">
        <f>(I16/5)*8/12</f>
        <v>20</v>
      </c>
      <c r="L16" s="302">
        <f t="shared" si="0"/>
        <v>1131.1111111111111</v>
      </c>
      <c r="M16" s="294"/>
      <c r="N16" s="294"/>
      <c r="O16" s="294"/>
      <c r="P16" s="520">
        <v>0</v>
      </c>
      <c r="Q16" s="311">
        <v>12</v>
      </c>
      <c r="R16" s="519">
        <f>F16/3</f>
        <v>1666.6666666666667</v>
      </c>
      <c r="S16" s="521">
        <v>0</v>
      </c>
      <c r="T16" s="311">
        <v>12</v>
      </c>
      <c r="U16" s="518">
        <f>I16/5</f>
        <v>30</v>
      </c>
      <c r="V16" s="519">
        <f t="shared" si="4"/>
        <v>1696.6666666666667</v>
      </c>
    </row>
    <row r="17" spans="1:23">
      <c r="A17" s="6">
        <v>17</v>
      </c>
      <c r="B17" s="294" t="s">
        <v>435</v>
      </c>
      <c r="C17" s="294"/>
      <c r="D17" s="294"/>
      <c r="E17" s="294"/>
      <c r="F17" s="311"/>
      <c r="G17" s="311"/>
      <c r="H17" s="302"/>
      <c r="I17" s="311"/>
      <c r="J17" s="311"/>
      <c r="K17" s="294"/>
      <c r="L17" s="302"/>
      <c r="M17" s="294"/>
      <c r="N17" s="294"/>
      <c r="O17" s="294"/>
      <c r="P17" s="311">
        <f>F16</f>
        <v>5000</v>
      </c>
      <c r="Q17" s="311">
        <f t="shared" ref="Q17:V17" si="11">G16</f>
        <v>8</v>
      </c>
      <c r="R17" s="519">
        <f t="shared" si="11"/>
        <v>1111.1111111111111</v>
      </c>
      <c r="S17" s="311">
        <f t="shared" si="11"/>
        <v>150</v>
      </c>
      <c r="T17" s="311">
        <f t="shared" si="11"/>
        <v>8</v>
      </c>
      <c r="U17" s="518">
        <f>(S17/5)*(T17/12)</f>
        <v>20</v>
      </c>
      <c r="V17" s="519">
        <f t="shared" si="4"/>
        <v>1131.1111111111111</v>
      </c>
    </row>
    <row r="18" spans="1:23">
      <c r="A18" s="6">
        <v>18</v>
      </c>
      <c r="B18" s="294" t="s">
        <v>166</v>
      </c>
      <c r="C18" s="294"/>
      <c r="D18" s="294"/>
      <c r="E18" s="294"/>
      <c r="F18" s="311">
        <v>5000</v>
      </c>
      <c r="G18" s="311">
        <v>8</v>
      </c>
      <c r="H18" s="302">
        <f t="shared" si="8"/>
        <v>1111.1111111111111</v>
      </c>
      <c r="I18" s="311">
        <v>150</v>
      </c>
      <c r="J18" s="311">
        <v>8</v>
      </c>
      <c r="K18" s="294">
        <f>(I18/5)*8/12</f>
        <v>20</v>
      </c>
      <c r="L18" s="302">
        <f t="shared" si="0"/>
        <v>1131.1111111111111</v>
      </c>
      <c r="M18" s="294"/>
      <c r="N18" s="294"/>
      <c r="O18" s="294"/>
      <c r="P18" s="520">
        <v>0</v>
      </c>
      <c r="Q18" s="311">
        <v>12</v>
      </c>
      <c r="R18" s="519">
        <f>F18/3</f>
        <v>1666.6666666666667</v>
      </c>
      <c r="S18" s="521">
        <v>0</v>
      </c>
      <c r="T18" s="311">
        <v>12</v>
      </c>
      <c r="U18" s="518">
        <f>I18/5</f>
        <v>30</v>
      </c>
      <c r="V18" s="519">
        <f t="shared" si="4"/>
        <v>1696.6666666666667</v>
      </c>
    </row>
    <row r="19" spans="1:23">
      <c r="A19" s="6">
        <v>19</v>
      </c>
      <c r="B19" s="294" t="s">
        <v>167</v>
      </c>
      <c r="C19" s="294"/>
      <c r="D19" s="294"/>
      <c r="E19" s="294"/>
      <c r="F19" s="311">
        <v>5000</v>
      </c>
      <c r="G19" s="311">
        <v>6</v>
      </c>
      <c r="H19" s="302">
        <f t="shared" si="8"/>
        <v>833.33333333333337</v>
      </c>
      <c r="I19" s="311">
        <v>150</v>
      </c>
      <c r="J19" s="311">
        <v>6</v>
      </c>
      <c r="K19" s="294">
        <f>(I19/5)*6/12</f>
        <v>15</v>
      </c>
      <c r="L19" s="302">
        <f t="shared" si="0"/>
        <v>848.33333333333337</v>
      </c>
      <c r="M19" s="294"/>
      <c r="N19" s="294"/>
      <c r="O19" s="294"/>
      <c r="P19" s="520">
        <v>0</v>
      </c>
      <c r="Q19" s="311">
        <v>12</v>
      </c>
      <c r="R19" s="519">
        <f>F19/3</f>
        <v>1666.6666666666667</v>
      </c>
      <c r="S19" s="521">
        <v>0</v>
      </c>
      <c r="T19" s="311">
        <v>12</v>
      </c>
      <c r="U19" s="518">
        <f>I19/5</f>
        <v>30</v>
      </c>
      <c r="V19" s="519">
        <f t="shared" si="4"/>
        <v>1696.6666666666667</v>
      </c>
    </row>
    <row r="20" spans="1:23">
      <c r="A20" s="6">
        <v>20</v>
      </c>
      <c r="B20" s="294" t="s">
        <v>436</v>
      </c>
      <c r="C20" s="294"/>
      <c r="D20" s="294"/>
      <c r="E20" s="294"/>
      <c r="F20" s="311"/>
      <c r="G20" s="311"/>
      <c r="H20" s="302"/>
      <c r="I20" s="311"/>
      <c r="J20" s="311"/>
      <c r="K20" s="294"/>
      <c r="L20" s="302"/>
      <c r="M20" s="294"/>
      <c r="N20" s="294"/>
      <c r="O20" s="294"/>
      <c r="P20" s="311">
        <f>F19</f>
        <v>5000</v>
      </c>
      <c r="Q20" s="311">
        <v>7</v>
      </c>
      <c r="R20" s="519">
        <f>(P20/3)*(Q20/12)</f>
        <v>972.22222222222229</v>
      </c>
      <c r="S20" s="311">
        <f t="shared" ref="R20:V20" si="12">I19</f>
        <v>150</v>
      </c>
      <c r="T20" s="311">
        <v>7</v>
      </c>
      <c r="U20" s="518">
        <f>(S20/5)*(T20/12)</f>
        <v>17.5</v>
      </c>
      <c r="V20" s="519">
        <f t="shared" si="4"/>
        <v>989.72222222222229</v>
      </c>
    </row>
    <row r="21" spans="1:23">
      <c r="A21" s="6">
        <v>21</v>
      </c>
      <c r="B21" s="294" t="s">
        <v>269</v>
      </c>
      <c r="C21" s="294"/>
      <c r="D21" s="294"/>
      <c r="E21" s="294"/>
      <c r="F21" s="311">
        <v>5000</v>
      </c>
      <c r="G21" s="311">
        <v>0</v>
      </c>
      <c r="H21" s="302">
        <f t="shared" si="8"/>
        <v>0</v>
      </c>
      <c r="I21" s="311">
        <v>150</v>
      </c>
      <c r="J21" s="311">
        <v>0</v>
      </c>
      <c r="K21" s="294">
        <v>0</v>
      </c>
      <c r="L21" s="302"/>
      <c r="M21" s="294"/>
      <c r="N21" s="294"/>
      <c r="O21" s="294"/>
      <c r="P21" s="521">
        <f>F21</f>
        <v>5000</v>
      </c>
      <c r="Q21" s="521">
        <f t="shared" ref="Q21:U21" si="13">G21</f>
        <v>0</v>
      </c>
      <c r="R21" s="302">
        <f t="shared" si="13"/>
        <v>0</v>
      </c>
      <c r="S21" s="521">
        <f t="shared" si="13"/>
        <v>150</v>
      </c>
      <c r="T21" s="522">
        <v>8</v>
      </c>
      <c r="U21" s="523">
        <f t="shared" si="13"/>
        <v>0</v>
      </c>
      <c r="V21" s="519">
        <f t="shared" si="4"/>
        <v>0</v>
      </c>
    </row>
    <row r="22" spans="1:23">
      <c r="A22" s="6">
        <v>22</v>
      </c>
      <c r="B22" s="294" t="s">
        <v>175</v>
      </c>
      <c r="C22" s="311">
        <v>2000</v>
      </c>
      <c r="D22" s="311">
        <v>12</v>
      </c>
      <c r="E22" s="294">
        <f>C22/5</f>
        <v>400</v>
      </c>
      <c r="F22" s="311">
        <v>5000</v>
      </c>
      <c r="G22" s="311">
        <v>12</v>
      </c>
      <c r="H22" s="302">
        <f t="shared" si="8"/>
        <v>1666.6666666666667</v>
      </c>
      <c r="I22" s="311">
        <v>300</v>
      </c>
      <c r="J22" s="311">
        <v>12</v>
      </c>
      <c r="K22" s="294">
        <f>I22/5</f>
        <v>60</v>
      </c>
      <c r="L22" s="302">
        <f>E22+H22+K22</f>
        <v>2126.666666666667</v>
      </c>
      <c r="M22" s="521">
        <v>0</v>
      </c>
      <c r="N22" s="311">
        <f>D22</f>
        <v>12</v>
      </c>
      <c r="O22" s="518">
        <f>E22</f>
        <v>400</v>
      </c>
      <c r="P22" s="520">
        <v>0</v>
      </c>
      <c r="Q22" s="311">
        <f>G22</f>
        <v>12</v>
      </c>
      <c r="R22" s="302">
        <f t="shared" ref="R21:V22" si="14">H22</f>
        <v>1666.6666666666667</v>
      </c>
      <c r="S22" s="521">
        <v>0</v>
      </c>
      <c r="T22" s="311">
        <f t="shared" si="14"/>
        <v>12</v>
      </c>
      <c r="U22" s="294">
        <f t="shared" si="14"/>
        <v>60</v>
      </c>
      <c r="V22" s="519">
        <f>U22+R22+O22</f>
        <v>2126.666666666667</v>
      </c>
    </row>
    <row r="23" spans="1:23">
      <c r="A23" s="6">
        <v>23</v>
      </c>
      <c r="B23" s="294" t="s">
        <v>176</v>
      </c>
      <c r="C23" s="311">
        <v>3000</v>
      </c>
      <c r="D23" s="311">
        <v>12</v>
      </c>
      <c r="E23" s="294">
        <f>C23/5</f>
        <v>600</v>
      </c>
      <c r="F23" s="294"/>
      <c r="G23" s="294"/>
      <c r="H23" s="294"/>
      <c r="I23" s="294"/>
      <c r="J23" s="294"/>
      <c r="K23" s="294"/>
      <c r="L23" s="302">
        <f>E23+H23+K23</f>
        <v>600</v>
      </c>
      <c r="M23" s="521">
        <v>0</v>
      </c>
      <c r="N23" s="311">
        <f>D23</f>
        <v>12</v>
      </c>
      <c r="O23" s="518">
        <f>E23</f>
        <v>600</v>
      </c>
      <c r="P23" s="294"/>
      <c r="Q23" s="294"/>
      <c r="R23" s="302"/>
      <c r="S23" s="294"/>
      <c r="T23" s="294"/>
      <c r="U23" s="294"/>
      <c r="V23" s="302">
        <f>O23</f>
        <v>600</v>
      </c>
    </row>
    <row r="24" spans="1:23">
      <c r="A24" s="6">
        <v>24</v>
      </c>
      <c r="B24" s="298" t="s">
        <v>440</v>
      </c>
      <c r="C24" s="294">
        <f>SUM(C22:C23)</f>
        <v>5000</v>
      </c>
      <c r="D24" s="294"/>
      <c r="E24" s="294"/>
      <c r="F24" s="294">
        <f>SUM(F6:F23)</f>
        <v>50000</v>
      </c>
      <c r="G24" s="294"/>
      <c r="H24" s="294"/>
      <c r="I24" s="294">
        <f>SUM(I6:I23)</f>
        <v>2100</v>
      </c>
      <c r="J24" s="294"/>
      <c r="K24" s="294"/>
      <c r="L24" s="302">
        <f>C24+F24+I24</f>
        <v>57100</v>
      </c>
      <c r="M24" s="302">
        <f>M23+M22</f>
        <v>0</v>
      </c>
      <c r="N24" s="294"/>
      <c r="O24" s="294"/>
      <c r="P24" s="302">
        <f>SUM(P6:P21)</f>
        <v>25000</v>
      </c>
      <c r="Q24" s="294"/>
      <c r="R24" s="294"/>
      <c r="S24" s="302">
        <f>SUM(S6:S21)</f>
        <v>950</v>
      </c>
      <c r="T24" s="294"/>
      <c r="U24" s="294"/>
      <c r="V24" s="302">
        <f>S24+P24+M24</f>
        <v>25950</v>
      </c>
      <c r="W24" s="23"/>
    </row>
    <row r="25" spans="1:23">
      <c r="A25" s="6">
        <v>25</v>
      </c>
      <c r="B25" s="298" t="s">
        <v>441</v>
      </c>
      <c r="C25" s="294"/>
      <c r="D25" s="294"/>
      <c r="E25" s="294">
        <f>SUM(E6:E23)</f>
        <v>1000</v>
      </c>
      <c r="F25" s="294"/>
      <c r="G25" s="294"/>
      <c r="H25" s="302">
        <f>SUM(H6:H23)</f>
        <v>12083.333333333334</v>
      </c>
      <c r="I25" s="294"/>
      <c r="J25" s="294"/>
      <c r="K25" s="294">
        <f>SUM(K6:K23)</f>
        <v>337.5</v>
      </c>
      <c r="L25" s="302">
        <f>E25+H25+K25</f>
        <v>13420.833333333334</v>
      </c>
      <c r="M25" s="294"/>
      <c r="N25" s="294"/>
      <c r="O25" s="294">
        <f>SUM(O22:O23)</f>
        <v>1000</v>
      </c>
      <c r="P25" s="294"/>
      <c r="Q25" s="294"/>
      <c r="R25" s="302">
        <f>SUM(R6:R22)</f>
        <v>19652.777777777777</v>
      </c>
      <c r="S25" s="294"/>
      <c r="T25" s="294"/>
      <c r="U25" s="294">
        <f>SUM(U6:U22)</f>
        <v>512.5</v>
      </c>
      <c r="V25" s="302">
        <f>U25+R25+O25</f>
        <v>21165.277777777777</v>
      </c>
    </row>
    <row r="26" spans="1:23">
      <c r="A26" s="6">
        <v>26</v>
      </c>
      <c r="B26" s="162"/>
      <c r="C26" s="162"/>
      <c r="D26" s="162"/>
      <c r="E26" s="162"/>
      <c r="F26" s="162"/>
      <c r="G26" s="162"/>
      <c r="H26" s="162"/>
      <c r="I26" s="162"/>
      <c r="J26" s="162"/>
      <c r="K26" s="162"/>
      <c r="L26" s="162"/>
      <c r="M26" s="162"/>
      <c r="N26" s="162"/>
      <c r="O26" s="162"/>
      <c r="P26" s="162"/>
      <c r="Q26" s="162"/>
      <c r="R26" s="162"/>
      <c r="S26" s="162"/>
      <c r="T26" s="162"/>
      <c r="U26" s="162"/>
      <c r="V26" s="162"/>
    </row>
    <row r="27" spans="1:23" ht="15.75">
      <c r="A27" s="6">
        <v>27</v>
      </c>
      <c r="B27" s="185" t="s">
        <v>438</v>
      </c>
      <c r="C27" s="474">
        <f>C24+F24+I24</f>
        <v>57100</v>
      </c>
      <c r="D27" s="474"/>
      <c r="E27" s="474"/>
      <c r="F27" s="474"/>
      <c r="G27" s="474"/>
      <c r="H27" s="474"/>
      <c r="I27" s="474"/>
      <c r="J27" s="474"/>
      <c r="K27" s="474"/>
      <c r="L27" s="312"/>
      <c r="M27" s="474">
        <f>V24</f>
        <v>25950</v>
      </c>
      <c r="N27" s="474"/>
      <c r="O27" s="474"/>
      <c r="P27" s="474"/>
      <c r="Q27" s="474"/>
      <c r="R27" s="474"/>
      <c r="S27" s="474"/>
      <c r="T27" s="474"/>
      <c r="U27" s="474"/>
      <c r="V27" s="312"/>
    </row>
    <row r="28" spans="1:23" ht="15.75">
      <c r="A28" s="6">
        <v>28</v>
      </c>
      <c r="B28" s="185" t="s">
        <v>439</v>
      </c>
      <c r="C28" s="474">
        <f>E25+H25+K25</f>
        <v>13420.833333333334</v>
      </c>
      <c r="D28" s="474"/>
      <c r="E28" s="474"/>
      <c r="F28" s="474"/>
      <c r="G28" s="474"/>
      <c r="H28" s="474"/>
      <c r="I28" s="474"/>
      <c r="J28" s="474"/>
      <c r="K28" s="474"/>
      <c r="L28" s="312"/>
      <c r="M28" s="474">
        <f>V25</f>
        <v>21165.277777777777</v>
      </c>
      <c r="N28" s="474"/>
      <c r="O28" s="474"/>
      <c r="P28" s="474"/>
      <c r="Q28" s="474"/>
      <c r="R28" s="474"/>
      <c r="S28" s="474"/>
      <c r="T28" s="474"/>
      <c r="U28" s="474"/>
      <c r="V28" s="312"/>
    </row>
    <row r="29" spans="1:23">
      <c r="A29" s="6">
        <v>29</v>
      </c>
      <c r="B29" s="162"/>
      <c r="C29" s="162"/>
      <c r="D29" s="162"/>
      <c r="E29" s="162"/>
      <c r="F29" s="162"/>
      <c r="G29" s="162"/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162"/>
      <c r="U29" s="162"/>
      <c r="V29" s="162"/>
    </row>
    <row r="30" spans="1:23">
      <c r="A30" s="6">
        <v>30</v>
      </c>
      <c r="B30" s="219" t="s">
        <v>53</v>
      </c>
      <c r="C30" s="295" t="s">
        <v>232</v>
      </c>
      <c r="D30" s="295" t="s">
        <v>172</v>
      </c>
      <c r="E30" s="295" t="s">
        <v>233</v>
      </c>
      <c r="F30" s="162"/>
      <c r="G30" s="162"/>
      <c r="H30" s="162"/>
      <c r="I30" s="162"/>
      <c r="J30" s="162"/>
      <c r="K30" s="162"/>
      <c r="L30" s="162"/>
      <c r="M30" s="295" t="s">
        <v>232</v>
      </c>
      <c r="N30" s="295" t="s">
        <v>172</v>
      </c>
      <c r="O30" s="295" t="s">
        <v>233</v>
      </c>
      <c r="P30" s="162"/>
      <c r="Q30" s="162"/>
      <c r="R30" s="162"/>
      <c r="S30" s="162"/>
      <c r="T30" s="162"/>
      <c r="U30" s="162"/>
      <c r="V30" s="162"/>
    </row>
    <row r="31" spans="1:23">
      <c r="A31" s="6">
        <v>31</v>
      </c>
      <c r="B31" s="185" t="s">
        <v>222</v>
      </c>
      <c r="C31" s="311">
        <v>6000</v>
      </c>
      <c r="D31" s="311">
        <v>12</v>
      </c>
      <c r="E31" s="294">
        <f>C31/3</f>
        <v>2000</v>
      </c>
      <c r="F31" s="162"/>
      <c r="G31" s="162"/>
      <c r="H31" s="162"/>
      <c r="I31" s="162"/>
      <c r="J31" s="162"/>
      <c r="K31" s="162"/>
      <c r="L31" s="162"/>
      <c r="M31" s="520">
        <v>0</v>
      </c>
      <c r="N31" s="313">
        <f>D31</f>
        <v>12</v>
      </c>
      <c r="O31" s="305">
        <f>E31</f>
        <v>2000</v>
      </c>
      <c r="P31" s="162"/>
      <c r="Q31" s="162"/>
      <c r="R31" s="162"/>
      <c r="S31" s="162"/>
      <c r="T31" s="162"/>
      <c r="U31" s="162"/>
      <c r="V31" s="162"/>
    </row>
    <row r="32" spans="1:23">
      <c r="A32" s="6">
        <v>32</v>
      </c>
      <c r="B32" s="185" t="s">
        <v>223</v>
      </c>
      <c r="C32" s="311">
        <v>18000</v>
      </c>
      <c r="D32" s="311">
        <v>12</v>
      </c>
      <c r="E32" s="294">
        <f>C32/3</f>
        <v>6000</v>
      </c>
      <c r="F32" s="162"/>
      <c r="G32" s="162"/>
      <c r="H32" s="162"/>
      <c r="I32" s="162"/>
      <c r="J32" s="162"/>
      <c r="K32" s="162"/>
      <c r="L32" s="162"/>
      <c r="M32" s="520">
        <v>0</v>
      </c>
      <c r="N32" s="313">
        <f>D32</f>
        <v>12</v>
      </c>
      <c r="O32" s="185">
        <f>E32</f>
        <v>6000</v>
      </c>
      <c r="P32" s="162"/>
      <c r="Q32" s="162"/>
      <c r="R32" s="162"/>
      <c r="S32" s="162"/>
      <c r="T32" s="162"/>
      <c r="U32" s="162"/>
      <c r="V32" s="162"/>
    </row>
    <row r="33" spans="1:22">
      <c r="A33" s="6">
        <v>33</v>
      </c>
      <c r="B33" s="162"/>
      <c r="C33" s="162"/>
      <c r="D33" s="162"/>
      <c r="E33" s="162"/>
      <c r="F33" s="162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</row>
    <row r="34" spans="1:22" ht="15.75">
      <c r="A34" s="6">
        <v>34</v>
      </c>
      <c r="B34" s="185" t="s">
        <v>177</v>
      </c>
      <c r="C34" s="475">
        <f>C32+C31</f>
        <v>24000</v>
      </c>
      <c r="D34" s="475"/>
      <c r="E34" s="475"/>
      <c r="F34" s="475"/>
      <c r="G34" s="475"/>
      <c r="H34" s="475"/>
      <c r="I34" s="475"/>
      <c r="J34" s="475"/>
      <c r="K34" s="475"/>
      <c r="L34" s="314"/>
      <c r="M34" s="475">
        <f>SUM(M31:M32)</f>
        <v>0</v>
      </c>
      <c r="N34" s="475"/>
      <c r="O34" s="475"/>
      <c r="P34" s="475"/>
      <c r="Q34" s="475"/>
      <c r="R34" s="475"/>
      <c r="S34" s="475"/>
      <c r="T34" s="475"/>
      <c r="U34" s="475"/>
      <c r="V34" s="314"/>
    </row>
    <row r="35" spans="1:22" ht="15.75">
      <c r="A35" s="6">
        <v>35</v>
      </c>
      <c r="B35" s="185" t="s">
        <v>178</v>
      </c>
      <c r="C35" s="475">
        <f>E31+E32</f>
        <v>8000</v>
      </c>
      <c r="D35" s="475"/>
      <c r="E35" s="475"/>
      <c r="F35" s="475"/>
      <c r="G35" s="475"/>
      <c r="H35" s="475"/>
      <c r="I35" s="475"/>
      <c r="J35" s="475"/>
      <c r="K35" s="475"/>
      <c r="L35" s="314"/>
      <c r="M35" s="475">
        <f>SUM(O31:O32)</f>
        <v>8000</v>
      </c>
      <c r="N35" s="475"/>
      <c r="O35" s="475"/>
      <c r="P35" s="475"/>
      <c r="Q35" s="475"/>
      <c r="R35" s="475"/>
      <c r="S35" s="475"/>
      <c r="T35" s="475"/>
      <c r="U35" s="475"/>
      <c r="V35" s="314"/>
    </row>
    <row r="37" spans="1:22">
      <c r="B37" s="6"/>
    </row>
  </sheetData>
  <mergeCells count="16">
    <mergeCell ref="M27:U27"/>
    <mergeCell ref="M28:U28"/>
    <mergeCell ref="M34:U34"/>
    <mergeCell ref="M35:U35"/>
    <mergeCell ref="C34:K34"/>
    <mergeCell ref="C35:K35"/>
    <mergeCell ref="C27:K27"/>
    <mergeCell ref="C28:K28"/>
    <mergeCell ref="C2:K2"/>
    <mergeCell ref="M3:O3"/>
    <mergeCell ref="M2:U2"/>
    <mergeCell ref="C3:E3"/>
    <mergeCell ref="F3:H3"/>
    <mergeCell ref="I3:K3"/>
    <mergeCell ref="S3:U3"/>
    <mergeCell ref="P3:R3"/>
  </mergeCells>
  <phoneticPr fontId="0" type="noConversion"/>
  <printOptions headings="1" gridLines="1"/>
  <pageMargins left="0.78740157499999996" right="0.78740157499999996" top="0.984251969" bottom="0.984251969" header="0.4921259845" footer="0.492125984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U29"/>
  <sheetViews>
    <sheetView topLeftCell="B1" workbookViewId="0">
      <selection activeCell="J25" sqref="J25"/>
    </sheetView>
  </sheetViews>
  <sheetFormatPr baseColWidth="10" defaultRowHeight="12.75"/>
  <cols>
    <col min="1" max="1" width="40.140625" customWidth="1"/>
    <col min="2" max="2" width="8.7109375" bestFit="1" customWidth="1"/>
    <col min="3" max="3" width="11.42578125" customWidth="1"/>
    <col min="4" max="4" width="8.42578125" bestFit="1" customWidth="1"/>
    <col min="5" max="5" width="7.42578125" bestFit="1" customWidth="1"/>
    <col min="6" max="6" width="8" bestFit="1" customWidth="1"/>
    <col min="7" max="7" width="8.28515625" bestFit="1" customWidth="1"/>
    <col min="8" max="8" width="7.42578125" bestFit="1" customWidth="1"/>
    <col min="9" max="9" width="10.28515625" customWidth="1"/>
    <col min="10" max="10" width="10.85546875" bestFit="1" customWidth="1"/>
    <col min="11" max="11" width="8.42578125" bestFit="1" customWidth="1"/>
    <col min="12" max="12" width="8.28515625" bestFit="1" customWidth="1"/>
    <col min="13" max="13" width="11.28515625" customWidth="1"/>
    <col min="14" max="18" width="8.7109375" bestFit="1" customWidth="1"/>
    <col min="19" max="19" width="10.42578125" bestFit="1" customWidth="1"/>
    <col min="20" max="20" width="10.85546875" bestFit="1" customWidth="1"/>
    <col min="21" max="21" width="10" bestFit="1" customWidth="1"/>
  </cols>
  <sheetData>
    <row r="1" spans="1:21" ht="13.5" thickBot="1">
      <c r="A1" s="104"/>
      <c r="B1" s="144"/>
      <c r="C1" s="145"/>
      <c r="D1" s="476" t="s">
        <v>259</v>
      </c>
      <c r="E1" s="477"/>
      <c r="F1" s="477"/>
      <c r="G1" s="477"/>
      <c r="H1" s="477"/>
      <c r="I1" s="477"/>
      <c r="J1" s="477"/>
      <c r="K1" s="477"/>
      <c r="L1" s="478"/>
      <c r="M1" s="476" t="s">
        <v>430</v>
      </c>
      <c r="N1" s="477"/>
      <c r="O1" s="477"/>
      <c r="P1" s="477"/>
      <c r="Q1" s="477"/>
      <c r="R1" s="477"/>
      <c r="S1" s="477"/>
      <c r="T1" s="477"/>
      <c r="U1" s="478"/>
    </row>
    <row r="2" spans="1:21" ht="13.5" thickBot="1">
      <c r="A2" s="32"/>
      <c r="B2" s="73"/>
      <c r="C2" s="51"/>
      <c r="D2" s="542" t="s">
        <v>189</v>
      </c>
      <c r="E2" s="543"/>
      <c r="F2" s="544"/>
      <c r="G2" s="542" t="s">
        <v>187</v>
      </c>
      <c r="H2" s="543"/>
      <c r="I2" s="543"/>
      <c r="J2" s="544"/>
      <c r="K2" s="545"/>
      <c r="L2" s="546"/>
      <c r="M2" s="547"/>
      <c r="N2" s="542" t="s">
        <v>189</v>
      </c>
      <c r="O2" s="543"/>
      <c r="P2" s="544"/>
      <c r="Q2" s="542" t="s">
        <v>187</v>
      </c>
      <c r="R2" s="543"/>
      <c r="S2" s="543"/>
      <c r="T2" s="544"/>
      <c r="U2" s="546"/>
    </row>
    <row r="3" spans="1:21" ht="33.75">
      <c r="A3" s="146" t="s">
        <v>170</v>
      </c>
      <c r="B3" s="89" t="s">
        <v>152</v>
      </c>
      <c r="C3" s="90" t="s">
        <v>199</v>
      </c>
      <c r="D3" s="88" t="s">
        <v>188</v>
      </c>
      <c r="E3" s="89" t="s">
        <v>182</v>
      </c>
      <c r="F3" s="90" t="s">
        <v>183</v>
      </c>
      <c r="G3" s="88" t="s">
        <v>184</v>
      </c>
      <c r="H3" s="89" t="s">
        <v>185</v>
      </c>
      <c r="I3" s="89" t="s">
        <v>429</v>
      </c>
      <c r="J3" s="90" t="s">
        <v>135</v>
      </c>
      <c r="K3" s="90" t="s">
        <v>269</v>
      </c>
      <c r="L3" s="376" t="s">
        <v>260</v>
      </c>
      <c r="M3" s="89" t="s">
        <v>152</v>
      </c>
      <c r="N3" s="554" t="s">
        <v>188</v>
      </c>
      <c r="O3" s="555" t="s">
        <v>182</v>
      </c>
      <c r="P3" s="556" t="s">
        <v>183</v>
      </c>
      <c r="Q3" s="554" t="s">
        <v>184</v>
      </c>
      <c r="R3" s="555" t="s">
        <v>185</v>
      </c>
      <c r="S3" s="555" t="s">
        <v>429</v>
      </c>
      <c r="T3" s="556" t="s">
        <v>135</v>
      </c>
      <c r="U3" s="557" t="s">
        <v>260</v>
      </c>
    </row>
    <row r="4" spans="1:21">
      <c r="A4" s="52" t="s">
        <v>197</v>
      </c>
      <c r="B4" s="73"/>
      <c r="C4" s="51"/>
      <c r="D4" s="52"/>
      <c r="E4" s="73"/>
      <c r="F4" s="51"/>
      <c r="G4" s="52"/>
      <c r="H4" s="73"/>
      <c r="I4" s="73"/>
      <c r="J4" s="51"/>
      <c r="K4" s="51"/>
      <c r="L4" s="535"/>
      <c r="M4" s="33"/>
      <c r="N4" s="32"/>
      <c r="O4" s="33"/>
      <c r="P4" s="34"/>
      <c r="Q4" s="32"/>
      <c r="R4" s="33"/>
      <c r="S4" s="33"/>
      <c r="T4" s="34"/>
      <c r="U4" s="377"/>
    </row>
    <row r="5" spans="1:21">
      <c r="A5" s="52" t="s">
        <v>30</v>
      </c>
      <c r="B5" s="72">
        <f>'Personnel,salaires'!P15</f>
        <v>246700</v>
      </c>
      <c r="C5" s="51"/>
      <c r="D5" s="82">
        <f>'Personnel,salaires'!P5+'Personnel,salaires'!P8</f>
        <v>50400</v>
      </c>
      <c r="E5" s="64">
        <f>'Personnel,salaires'!P5</f>
        <v>36000</v>
      </c>
      <c r="F5" s="91">
        <f>'Personnel,salaires'!P6</f>
        <v>36000</v>
      </c>
      <c r="G5" s="82">
        <f>'Personnel,salaires'!P10</f>
        <v>36000</v>
      </c>
      <c r="H5" s="64">
        <f>'Personnel,salaires'!P11</f>
        <v>22500</v>
      </c>
      <c r="I5" s="64">
        <f>'Personnel,salaires'!P12</f>
        <v>44800</v>
      </c>
      <c r="J5" s="91">
        <f>'Personnel,salaires'!P13</f>
        <v>21000</v>
      </c>
      <c r="K5" s="91"/>
      <c r="L5" s="536">
        <f>SUM(D5:J5)</f>
        <v>246700</v>
      </c>
      <c r="M5" s="106">
        <f>'Personnel,salaires'!AD15</f>
        <v>469300</v>
      </c>
      <c r="N5" s="105">
        <f>'Personnel,salaires'!AD5+'Personnel,salaires'!AD8</f>
        <v>60000</v>
      </c>
      <c r="O5" s="106">
        <f>'Personnel,salaires'!AD6+'Personnel,salaires'!AD9</f>
        <v>75600</v>
      </c>
      <c r="P5" s="76">
        <f>'Personnel,salaires'!AD7</f>
        <v>42000</v>
      </c>
      <c r="Q5" s="105">
        <f>'Personnel,salaires'!AD10</f>
        <v>80500</v>
      </c>
      <c r="R5" s="106">
        <f>'Personnel,salaires'!AD11</f>
        <v>53200</v>
      </c>
      <c r="S5" s="106">
        <f>'Personnel,salaires'!AD12</f>
        <v>96000</v>
      </c>
      <c r="T5" s="76">
        <f>'Personnel,salaires'!AD13</f>
        <v>62000</v>
      </c>
      <c r="U5" s="378">
        <f>SUM(N5:T5)</f>
        <v>469300</v>
      </c>
    </row>
    <row r="6" spans="1:21">
      <c r="A6" s="52" t="s">
        <v>31</v>
      </c>
      <c r="B6" s="72">
        <f>B5*0.5</f>
        <v>123350</v>
      </c>
      <c r="C6" s="51"/>
      <c r="D6" s="82">
        <f>D5*0.5</f>
        <v>25200</v>
      </c>
      <c r="E6" s="64">
        <f t="shared" ref="E6:J6" si="0">E5*0.5</f>
        <v>18000</v>
      </c>
      <c r="F6" s="91">
        <f t="shared" si="0"/>
        <v>18000</v>
      </c>
      <c r="G6" s="82">
        <f t="shared" si="0"/>
        <v>18000</v>
      </c>
      <c r="H6" s="64">
        <f t="shared" si="0"/>
        <v>11250</v>
      </c>
      <c r="I6" s="64">
        <f t="shared" si="0"/>
        <v>22400</v>
      </c>
      <c r="J6" s="91">
        <f t="shared" si="0"/>
        <v>10500</v>
      </c>
      <c r="K6" s="91"/>
      <c r="L6" s="536">
        <f>SUM(D6:J6)</f>
        <v>123350</v>
      </c>
      <c r="M6" s="106">
        <f>M5*0.5</f>
        <v>234650</v>
      </c>
      <c r="N6" s="105">
        <f t="shared" ref="N6:U6" si="1">N5*0.5</f>
        <v>30000</v>
      </c>
      <c r="O6" s="106">
        <f t="shared" si="1"/>
        <v>37800</v>
      </c>
      <c r="P6" s="76">
        <f t="shared" si="1"/>
        <v>21000</v>
      </c>
      <c r="Q6" s="105">
        <f t="shared" si="1"/>
        <v>40250</v>
      </c>
      <c r="R6" s="106">
        <f t="shared" si="1"/>
        <v>26600</v>
      </c>
      <c r="S6" s="106">
        <f t="shared" si="1"/>
        <v>48000</v>
      </c>
      <c r="T6" s="76">
        <f t="shared" si="1"/>
        <v>31000</v>
      </c>
      <c r="U6" s="378">
        <f>SUM(N6:T6)</f>
        <v>234650</v>
      </c>
    </row>
    <row r="7" spans="1:21">
      <c r="A7" s="52" t="s">
        <v>190</v>
      </c>
      <c r="B7" s="72">
        <f>B5+B6</f>
        <v>370050</v>
      </c>
      <c r="C7" s="51"/>
      <c r="D7" s="82">
        <f>SUM(D5:D6)</f>
        <v>75600</v>
      </c>
      <c r="E7" s="64">
        <f t="shared" ref="E7:J7" si="2">SUM(E5:E6)</f>
        <v>54000</v>
      </c>
      <c r="F7" s="91">
        <f t="shared" si="2"/>
        <v>54000</v>
      </c>
      <c r="G7" s="82">
        <f t="shared" si="2"/>
        <v>54000</v>
      </c>
      <c r="H7" s="64">
        <f t="shared" si="2"/>
        <v>33750</v>
      </c>
      <c r="I7" s="64">
        <f t="shared" si="2"/>
        <v>67200</v>
      </c>
      <c r="J7" s="91">
        <f t="shared" si="2"/>
        <v>31500</v>
      </c>
      <c r="K7" s="91"/>
      <c r="L7" s="536">
        <f>SUM(L5:L6)</f>
        <v>370050</v>
      </c>
      <c r="M7" s="106">
        <f>M5+M6</f>
        <v>703950</v>
      </c>
      <c r="N7" s="105">
        <f>SUM(N5:N6)</f>
        <v>90000</v>
      </c>
      <c r="O7" s="106">
        <f t="shared" ref="O7:T7" si="3">SUM(O5:O6)</f>
        <v>113400</v>
      </c>
      <c r="P7" s="76">
        <f t="shared" si="3"/>
        <v>63000</v>
      </c>
      <c r="Q7" s="105">
        <f t="shared" si="3"/>
        <v>120750</v>
      </c>
      <c r="R7" s="106">
        <f t="shared" si="3"/>
        <v>79800</v>
      </c>
      <c r="S7" s="106">
        <f t="shared" si="3"/>
        <v>144000</v>
      </c>
      <c r="T7" s="76">
        <f t="shared" si="3"/>
        <v>93000</v>
      </c>
      <c r="U7" s="378">
        <f>SUM(N7:T7)</f>
        <v>703950</v>
      </c>
    </row>
    <row r="8" spans="1:21" ht="25.5" customHeight="1">
      <c r="A8" s="147" t="s">
        <v>442</v>
      </c>
      <c r="B8" s="414">
        <f>20%*B5</f>
        <v>49340</v>
      </c>
      <c r="C8" s="148" t="s">
        <v>191</v>
      </c>
      <c r="D8" s="82">
        <f>D7*$B$8/$B$7</f>
        <v>10080</v>
      </c>
      <c r="E8" s="64">
        <f t="shared" ref="E8:J8" si="4">E7*$B$8/$B$7</f>
        <v>7200</v>
      </c>
      <c r="F8" s="91">
        <f t="shared" si="4"/>
        <v>7200</v>
      </c>
      <c r="G8" s="82">
        <f t="shared" si="4"/>
        <v>7200</v>
      </c>
      <c r="H8" s="64">
        <f t="shared" si="4"/>
        <v>4500</v>
      </c>
      <c r="I8" s="64">
        <f t="shared" si="4"/>
        <v>8960</v>
      </c>
      <c r="J8" s="91">
        <f t="shared" si="4"/>
        <v>4200</v>
      </c>
      <c r="K8" s="91"/>
      <c r="L8" s="536">
        <f>SUM(D8:J8)</f>
        <v>49340</v>
      </c>
      <c r="M8" s="106">
        <f>20%*M5</f>
        <v>93860</v>
      </c>
      <c r="N8" s="105">
        <f>N7*$M$8/$M$7</f>
        <v>12000</v>
      </c>
      <c r="O8" s="106">
        <f t="shared" ref="O8:T8" si="5">O7*$M$8/$M$7</f>
        <v>15120</v>
      </c>
      <c r="P8" s="76">
        <f t="shared" si="5"/>
        <v>8400</v>
      </c>
      <c r="Q8" s="105">
        <f t="shared" si="5"/>
        <v>16100</v>
      </c>
      <c r="R8" s="106">
        <f t="shared" si="5"/>
        <v>10640</v>
      </c>
      <c r="S8" s="106">
        <f t="shared" si="5"/>
        <v>19200</v>
      </c>
      <c r="T8" s="76">
        <f t="shared" si="5"/>
        <v>12400</v>
      </c>
      <c r="U8" s="378">
        <f>SUM(N8:T8)</f>
        <v>93860</v>
      </c>
    </row>
    <row r="9" spans="1:21" ht="22.5">
      <c r="A9" s="52" t="s">
        <v>186</v>
      </c>
      <c r="B9" s="414">
        <f>8%*B5</f>
        <v>19736</v>
      </c>
      <c r="C9" s="148" t="s">
        <v>191</v>
      </c>
      <c r="D9" s="82">
        <f>D7*$B$9/$B$7</f>
        <v>4032</v>
      </c>
      <c r="E9" s="64">
        <f t="shared" ref="E9:J9" si="6">E7*$B$9/$B$7</f>
        <v>2880</v>
      </c>
      <c r="F9" s="91">
        <f t="shared" si="6"/>
        <v>2880</v>
      </c>
      <c r="G9" s="82">
        <f t="shared" si="6"/>
        <v>2880</v>
      </c>
      <c r="H9" s="64">
        <f t="shared" si="6"/>
        <v>1800</v>
      </c>
      <c r="I9" s="64">
        <f t="shared" si="6"/>
        <v>3584</v>
      </c>
      <c r="J9" s="91">
        <f t="shared" si="6"/>
        <v>1680</v>
      </c>
      <c r="K9" s="91"/>
      <c r="L9" s="536">
        <f>SUM(D9:J9)</f>
        <v>19736</v>
      </c>
      <c r="M9" s="106">
        <f>8%*M5</f>
        <v>37544</v>
      </c>
      <c r="N9" s="105">
        <f>N7*$M$9/$M$7</f>
        <v>4800</v>
      </c>
      <c r="O9" s="106">
        <f t="shared" ref="O9:T9" si="7">O7*$M$9/$M$7</f>
        <v>6048</v>
      </c>
      <c r="P9" s="76">
        <f t="shared" si="7"/>
        <v>3360</v>
      </c>
      <c r="Q9" s="105">
        <f t="shared" si="7"/>
        <v>6440</v>
      </c>
      <c r="R9" s="106">
        <f t="shared" si="7"/>
        <v>4256</v>
      </c>
      <c r="S9" s="106">
        <f t="shared" si="7"/>
        <v>7680</v>
      </c>
      <c r="T9" s="76">
        <f t="shared" si="7"/>
        <v>4960</v>
      </c>
      <c r="U9" s="378">
        <f>SUM(N9:T9)</f>
        <v>37544</v>
      </c>
    </row>
    <row r="10" spans="1:21">
      <c r="A10" s="52" t="s">
        <v>262</v>
      </c>
      <c r="B10" s="72">
        <f>Immo!C28+Immo!C35</f>
        <v>21420.833333333336</v>
      </c>
      <c r="C10" s="51"/>
      <c r="D10" s="82">
        <f>Immo!L6+Immo!L9+Immo!L22+Immo!L23+Immo!C35</f>
        <v>12463.333333333334</v>
      </c>
      <c r="E10" s="64">
        <f>Immo!L7</f>
        <v>873.33333333333337</v>
      </c>
      <c r="F10" s="91">
        <f>Immo!L8</f>
        <v>1706.6666666666667</v>
      </c>
      <c r="G10" s="82">
        <f>Immo!L11</f>
        <v>863.33333333333337</v>
      </c>
      <c r="H10" s="64">
        <f>Immo!L13</f>
        <v>1272.5</v>
      </c>
      <c r="I10" s="64">
        <f>Immo!L15+Immo!L16</f>
        <v>2262.2222222222222</v>
      </c>
      <c r="J10" s="91">
        <f>Immo!L18+Immo!L19</f>
        <v>1979.4444444444443</v>
      </c>
      <c r="K10" s="91"/>
      <c r="L10" s="536">
        <f>SUM(D10:J10)</f>
        <v>21420.833333333336</v>
      </c>
      <c r="M10" s="106">
        <f>Immo!M28+Immo!M35</f>
        <v>29165.277777777777</v>
      </c>
      <c r="N10" s="105">
        <f>Immo!V6+Immo!V9+Immo!V22+Immo!V23+Immo!M35</f>
        <v>12463.333333333334</v>
      </c>
      <c r="O10" s="106">
        <f>Immo!V7+Immo!V10</f>
        <v>1746.6666666666667</v>
      </c>
      <c r="P10" s="76">
        <f>Immo!V8</f>
        <v>1706.6666666666667</v>
      </c>
      <c r="Q10" s="105">
        <f>Immo!V11+Immo!V12</f>
        <v>1654.7222222222222</v>
      </c>
      <c r="R10" s="106">
        <f>Immo!V13+Immo!V14</f>
        <v>2686.3888888888891</v>
      </c>
      <c r="S10" s="106">
        <f>Immo!V15+Immo!V16+Immo!V17</f>
        <v>4524.4444444444443</v>
      </c>
      <c r="T10" s="76">
        <f>Immo!V18+Immo!V19+Immo!V20</f>
        <v>4383.0555555555557</v>
      </c>
      <c r="U10" s="378">
        <f>SUM(N10:T10)</f>
        <v>29165.277777777777</v>
      </c>
    </row>
    <row r="11" spans="1:21">
      <c r="A11" s="50" t="s">
        <v>198</v>
      </c>
      <c r="B11" s="65">
        <f>SUM(B7:B10)</f>
        <v>460546.83333333331</v>
      </c>
      <c r="C11" s="51"/>
      <c r="D11" s="82">
        <f>SUM(D7:D10)</f>
        <v>102175.33333333333</v>
      </c>
      <c r="E11" s="64">
        <f t="shared" ref="E11:J11" si="8">SUM(E7:E10)</f>
        <v>64953.333333333336</v>
      </c>
      <c r="F11" s="91">
        <f t="shared" si="8"/>
        <v>65786.666666666672</v>
      </c>
      <c r="G11" s="82">
        <f t="shared" si="8"/>
        <v>64943.333333333336</v>
      </c>
      <c r="H11" s="64">
        <f t="shared" si="8"/>
        <v>41322.5</v>
      </c>
      <c r="I11" s="64">
        <f t="shared" si="8"/>
        <v>82006.222222222219</v>
      </c>
      <c r="J11" s="91">
        <f t="shared" si="8"/>
        <v>39359.444444444445</v>
      </c>
      <c r="K11" s="91"/>
      <c r="L11" s="536">
        <f>SUM(D11:J11)</f>
        <v>460546.83333333331</v>
      </c>
      <c r="M11" s="388">
        <f>SUM(M7:M10)</f>
        <v>864519.27777777775</v>
      </c>
      <c r="N11" s="548">
        <f>SUM(N7:N10)</f>
        <v>119263.33333333333</v>
      </c>
      <c r="O11" s="549">
        <f t="shared" ref="O11:T11" si="9">SUM(O7:O10)</f>
        <v>136314.66666666666</v>
      </c>
      <c r="P11" s="152">
        <f t="shared" si="9"/>
        <v>76466.666666666672</v>
      </c>
      <c r="Q11" s="548">
        <f t="shared" si="9"/>
        <v>144944.72222222222</v>
      </c>
      <c r="R11" s="549">
        <f t="shared" si="9"/>
        <v>97382.388888888891</v>
      </c>
      <c r="S11" s="549">
        <f t="shared" si="9"/>
        <v>175404.44444444444</v>
      </c>
      <c r="T11" s="152">
        <f t="shared" si="9"/>
        <v>114743.05555555556</v>
      </c>
      <c r="U11" s="379">
        <f>SUM(N11:T11)</f>
        <v>864519.27777777775</v>
      </c>
    </row>
    <row r="12" spans="1:21">
      <c r="A12" s="52" t="s">
        <v>196</v>
      </c>
      <c r="B12" s="184">
        <f>SUM(D12:K12)</f>
        <v>10</v>
      </c>
      <c r="C12" s="51"/>
      <c r="D12" s="524">
        <v>2</v>
      </c>
      <c r="E12" s="102">
        <v>1</v>
      </c>
      <c r="F12" s="525">
        <v>1</v>
      </c>
      <c r="G12" s="524">
        <v>1</v>
      </c>
      <c r="H12" s="102">
        <v>1</v>
      </c>
      <c r="I12" s="102">
        <v>2</v>
      </c>
      <c r="J12" s="525">
        <v>2</v>
      </c>
      <c r="K12" s="525"/>
      <c r="L12" s="536"/>
      <c r="M12" s="109">
        <v>15</v>
      </c>
      <c r="N12" s="115">
        <v>2</v>
      </c>
      <c r="O12" s="84">
        <v>2</v>
      </c>
      <c r="P12" s="57">
        <v>1</v>
      </c>
      <c r="Q12" s="115">
        <v>2</v>
      </c>
      <c r="R12" s="84">
        <v>2</v>
      </c>
      <c r="S12" s="84">
        <v>3</v>
      </c>
      <c r="T12" s="57">
        <v>3</v>
      </c>
      <c r="U12" s="380"/>
    </row>
    <row r="13" spans="1:21">
      <c r="A13" s="52" t="s">
        <v>443</v>
      </c>
      <c r="B13" s="73"/>
      <c r="C13" s="51"/>
      <c r="D13" s="524">
        <v>24</v>
      </c>
      <c r="E13" s="102">
        <v>12</v>
      </c>
      <c r="F13" s="525">
        <v>12</v>
      </c>
      <c r="G13" s="524">
        <v>12</v>
      </c>
      <c r="H13" s="102">
        <v>9</v>
      </c>
      <c r="I13" s="102">
        <v>16</v>
      </c>
      <c r="J13" s="525">
        <v>14</v>
      </c>
      <c r="K13" s="525"/>
      <c r="L13" s="537">
        <f>SUM(D13:K13)</f>
        <v>99</v>
      </c>
      <c r="M13" s="71"/>
      <c r="N13" s="115">
        <f>N12*12</f>
        <v>24</v>
      </c>
      <c r="O13" s="84">
        <f t="shared" ref="O13:T13" si="10">O12*12</f>
        <v>24</v>
      </c>
      <c r="P13" s="57">
        <f t="shared" si="10"/>
        <v>12</v>
      </c>
      <c r="Q13" s="115">
        <v>23</v>
      </c>
      <c r="R13" s="84">
        <v>19</v>
      </c>
      <c r="S13" s="84">
        <v>32</v>
      </c>
      <c r="T13" s="57">
        <v>31</v>
      </c>
      <c r="U13" s="550">
        <f>SUM(N13:T13)</f>
        <v>165</v>
      </c>
    </row>
    <row r="14" spans="1:21" ht="22.5">
      <c r="A14" s="149" t="s">
        <v>485</v>
      </c>
      <c r="B14" s="40">
        <f>(47*5*8-10*8)</f>
        <v>1800</v>
      </c>
      <c r="C14" s="51"/>
      <c r="D14" s="524"/>
      <c r="E14" s="102"/>
      <c r="F14" s="525"/>
      <c r="G14" s="524"/>
      <c r="H14" s="102"/>
      <c r="I14" s="102"/>
      <c r="J14" s="525"/>
      <c r="K14" s="525"/>
      <c r="L14" s="537"/>
      <c r="M14" s="71">
        <f>B14</f>
        <v>1800</v>
      </c>
      <c r="N14" s="115"/>
      <c r="O14" s="84"/>
      <c r="P14" s="57"/>
      <c r="Q14" s="115"/>
      <c r="R14" s="84"/>
      <c r="S14" s="84"/>
      <c r="T14" s="57"/>
      <c r="U14" s="380"/>
    </row>
    <row r="15" spans="1:21">
      <c r="A15" s="149" t="s">
        <v>484</v>
      </c>
      <c r="B15" s="157">
        <v>10</v>
      </c>
      <c r="C15" s="51"/>
      <c r="D15" s="524"/>
      <c r="E15" s="102"/>
      <c r="F15" s="525"/>
      <c r="G15" s="524"/>
      <c r="H15" s="102"/>
      <c r="I15" s="102"/>
      <c r="J15" s="525"/>
      <c r="K15" s="525"/>
      <c r="L15" s="537"/>
      <c r="M15" s="551">
        <f t="shared" ref="M15:M16" si="11">B15</f>
        <v>10</v>
      </c>
      <c r="N15" s="115"/>
      <c r="O15" s="84"/>
      <c r="P15" s="57"/>
      <c r="Q15" s="115"/>
      <c r="R15" s="84"/>
      <c r="S15" s="84"/>
      <c r="T15" s="57"/>
      <c r="U15" s="380"/>
    </row>
    <row r="16" spans="1:21" ht="22.5">
      <c r="A16" s="149" t="s">
        <v>486</v>
      </c>
      <c r="B16" s="156">
        <f>(B14-B15*8)/12</f>
        <v>143.33333333333334</v>
      </c>
      <c r="C16" s="51"/>
      <c r="D16" s="526">
        <f t="shared" ref="D16:J16" si="12">D13*$B$16</f>
        <v>3440</v>
      </c>
      <c r="E16" s="103">
        <f t="shared" si="12"/>
        <v>1720</v>
      </c>
      <c r="F16" s="527">
        <f t="shared" si="12"/>
        <v>1720</v>
      </c>
      <c r="G16" s="526">
        <f t="shared" si="12"/>
        <v>1720</v>
      </c>
      <c r="H16" s="103">
        <f t="shared" si="12"/>
        <v>1290</v>
      </c>
      <c r="I16" s="103">
        <f t="shared" si="12"/>
        <v>2293.3333333333335</v>
      </c>
      <c r="J16" s="527">
        <f t="shared" si="12"/>
        <v>2006.6666666666667</v>
      </c>
      <c r="K16" s="527"/>
      <c r="L16" s="538">
        <f>SUM(D16:J16)</f>
        <v>14190</v>
      </c>
      <c r="M16" s="61">
        <f t="shared" si="11"/>
        <v>143.33333333333334</v>
      </c>
      <c r="N16" s="107">
        <f>N13*$M$16</f>
        <v>3440</v>
      </c>
      <c r="O16" s="109">
        <f t="shared" ref="O16:T16" si="13">O13*$M$16</f>
        <v>3440</v>
      </c>
      <c r="P16" s="60">
        <f t="shared" si="13"/>
        <v>1720</v>
      </c>
      <c r="Q16" s="107">
        <f t="shared" si="13"/>
        <v>3296.666666666667</v>
      </c>
      <c r="R16" s="109">
        <f t="shared" si="13"/>
        <v>2723.3333333333335</v>
      </c>
      <c r="S16" s="109">
        <f t="shared" si="13"/>
        <v>4586.666666666667</v>
      </c>
      <c r="T16" s="60">
        <f t="shared" si="13"/>
        <v>4443.3333333333339</v>
      </c>
      <c r="U16" s="380">
        <f>SUM(N16:T16)</f>
        <v>23650</v>
      </c>
    </row>
    <row r="17" spans="1:21" ht="14.25" customHeight="1" thickBot="1">
      <c r="A17" s="50" t="s">
        <v>261</v>
      </c>
      <c r="B17" s="73"/>
      <c r="C17" s="51"/>
      <c r="D17" s="82"/>
      <c r="E17" s="64"/>
      <c r="F17" s="91"/>
      <c r="G17" s="82"/>
      <c r="H17" s="64"/>
      <c r="I17" s="64"/>
      <c r="J17" s="91"/>
      <c r="K17" s="91"/>
      <c r="L17" s="536"/>
      <c r="M17" s="71"/>
      <c r="N17" s="116"/>
      <c r="O17" s="61"/>
      <c r="P17" s="108"/>
      <c r="Q17" s="116"/>
      <c r="R17" s="61"/>
      <c r="S17" s="61"/>
      <c r="T17" s="108"/>
      <c r="U17" s="380"/>
    </row>
    <row r="18" spans="1:21">
      <c r="A18" s="52" t="s">
        <v>181</v>
      </c>
      <c r="B18" s="73"/>
      <c r="C18" s="73"/>
      <c r="D18" s="384">
        <f>D11</f>
        <v>102175.33333333333</v>
      </c>
      <c r="E18" s="385">
        <f>(E16/(SUM($E$16:$K$16))*$D$18)</f>
        <v>16348.053333333333</v>
      </c>
      <c r="F18" s="528">
        <f t="shared" ref="F18:J18" si="14">(F16/(SUM($E$16:$K$16))*$D$18)</f>
        <v>16348.053333333333</v>
      </c>
      <c r="G18" s="531">
        <f t="shared" si="14"/>
        <v>16348.053333333333</v>
      </c>
      <c r="H18" s="385">
        <f t="shared" si="14"/>
        <v>12261.039999999999</v>
      </c>
      <c r="I18" s="385">
        <f t="shared" si="14"/>
        <v>21797.404444444444</v>
      </c>
      <c r="J18" s="528">
        <f t="shared" si="14"/>
        <v>19072.728888888891</v>
      </c>
      <c r="K18" s="528"/>
      <c r="L18" s="539">
        <f>SUM(E18:K18)</f>
        <v>102175.33333333333</v>
      </c>
      <c r="M18" s="552"/>
      <c r="N18" s="558">
        <f>N11</f>
        <v>119263.33333333333</v>
      </c>
      <c r="O18" s="385">
        <f>(O16/SUM($O$16:$T$16))*$N$18</f>
        <v>20300.141843971629</v>
      </c>
      <c r="P18" s="528">
        <f t="shared" ref="P18:T18" si="15">(P16/SUM($O$16:$T$16))*$N$18</f>
        <v>10150.070921985814</v>
      </c>
      <c r="Q18" s="531">
        <f t="shared" si="15"/>
        <v>19454.302600472813</v>
      </c>
      <c r="R18" s="385">
        <f t="shared" si="15"/>
        <v>16070.94562647754</v>
      </c>
      <c r="S18" s="385">
        <f t="shared" si="15"/>
        <v>27066.855791962178</v>
      </c>
      <c r="T18" s="528">
        <f t="shared" si="15"/>
        <v>26221.016548463362</v>
      </c>
      <c r="U18" s="559">
        <f>SUM(O18:T18)</f>
        <v>119263.33333333334</v>
      </c>
    </row>
    <row r="19" spans="1:21">
      <c r="A19" s="52" t="s">
        <v>182</v>
      </c>
      <c r="B19" s="73"/>
      <c r="C19" s="73" t="s">
        <v>195</v>
      </c>
      <c r="D19" s="82"/>
      <c r="E19" s="59">
        <f>E11+E18</f>
        <v>81301.386666666673</v>
      </c>
      <c r="F19" s="91">
        <f t="shared" ref="F19:J19" si="16">(F16/(SUM($F$16:$K$16))*$E$19)</f>
        <v>15485.978412698412</v>
      </c>
      <c r="G19" s="82">
        <f t="shared" si="16"/>
        <v>15485.978412698412</v>
      </c>
      <c r="H19" s="64">
        <f t="shared" si="16"/>
        <v>11614.48380952381</v>
      </c>
      <c r="I19" s="64">
        <f t="shared" si="16"/>
        <v>20647.971216931222</v>
      </c>
      <c r="J19" s="91">
        <f t="shared" si="16"/>
        <v>18066.974814814817</v>
      </c>
      <c r="K19" s="91"/>
      <c r="L19" s="536">
        <f>SUM(F19:J19)</f>
        <v>81301.386666666673</v>
      </c>
      <c r="M19" s="106"/>
      <c r="N19" s="116"/>
      <c r="O19" s="110">
        <f>O11+O18</f>
        <v>156614.80851063828</v>
      </c>
      <c r="P19" s="91">
        <f>P16/SUM($P$16:$T$16)*$O$19</f>
        <v>16063.057283142387</v>
      </c>
      <c r="Q19" s="82">
        <f t="shared" ref="Q19:T19" si="17">Q16/SUM($P$16:$T$16)*$O$19</f>
        <v>30787.526459356246</v>
      </c>
      <c r="R19" s="64">
        <f t="shared" si="17"/>
        <v>25433.174031642113</v>
      </c>
      <c r="S19" s="64">
        <f t="shared" si="17"/>
        <v>42834.819421713037</v>
      </c>
      <c r="T19" s="91">
        <f t="shared" si="17"/>
        <v>41496.231314784513</v>
      </c>
      <c r="U19" s="380">
        <f>SUM(P19:T19)</f>
        <v>156614.80851063831</v>
      </c>
    </row>
    <row r="20" spans="1:21" ht="13.5" thickBot="1">
      <c r="A20" s="52" t="s">
        <v>192</v>
      </c>
      <c r="B20" s="73"/>
      <c r="C20" s="73" t="s">
        <v>195</v>
      </c>
      <c r="D20" s="386"/>
      <c r="E20" s="387"/>
      <c r="F20" s="529">
        <f>F11+F18+F19</f>
        <v>97620.698412698417</v>
      </c>
      <c r="G20" s="386">
        <f>(G16/(SUM($G$16:$K$16))*$F$20)</f>
        <v>22969.576097105506</v>
      </c>
      <c r="H20" s="387">
        <f>(H16/(SUM($G$16:$K$16))*$F$20)</f>
        <v>17227.182072829131</v>
      </c>
      <c r="I20" s="387">
        <f>(I16/(SUM($G$16:$K$16))*$F$20)</f>
        <v>30626.101462807346</v>
      </c>
      <c r="J20" s="533">
        <f>(J16/(SUM($G$16:$K$16))*$F$20)</f>
        <v>26797.838779956426</v>
      </c>
      <c r="K20" s="533"/>
      <c r="L20" s="540">
        <f>SUM(G20:J20)</f>
        <v>97620.698412698403</v>
      </c>
      <c r="M20" s="553"/>
      <c r="N20" s="560"/>
      <c r="O20" s="561"/>
      <c r="P20" s="534">
        <f>P11+P18+P19</f>
        <v>102679.79487179487</v>
      </c>
      <c r="Q20" s="386">
        <f>Q16/SUM($Q$16:$T$16)*$P$20</f>
        <v>22491.764590964591</v>
      </c>
      <c r="R20" s="387">
        <f t="shared" ref="R20:T20" si="18">R16/SUM($Q$16:$T$16)*$P$20</f>
        <v>18580.153357753359</v>
      </c>
      <c r="S20" s="387">
        <f t="shared" si="18"/>
        <v>31292.889865689864</v>
      </c>
      <c r="T20" s="533">
        <f t="shared" si="18"/>
        <v>30314.987057387058</v>
      </c>
      <c r="U20" s="562">
        <f>SUM(Q20:T20)</f>
        <v>102679.79487179487</v>
      </c>
    </row>
    <row r="21" spans="1:21">
      <c r="A21" s="52"/>
      <c r="B21" s="73"/>
      <c r="C21" s="51"/>
      <c r="D21" s="82"/>
      <c r="E21" s="64"/>
      <c r="F21" s="91"/>
      <c r="G21" s="82"/>
      <c r="H21" s="64"/>
      <c r="I21" s="64"/>
      <c r="J21" s="91"/>
      <c r="K21" s="91"/>
      <c r="L21" s="536"/>
      <c r="M21" s="71"/>
      <c r="N21" s="116"/>
      <c r="O21" s="61"/>
      <c r="P21" s="108"/>
      <c r="Q21" s="116"/>
      <c r="R21" s="61"/>
      <c r="S21" s="61"/>
      <c r="T21" s="108"/>
      <c r="U21" s="380"/>
    </row>
    <row r="22" spans="1:21">
      <c r="A22" s="52" t="s">
        <v>193</v>
      </c>
      <c r="B22" s="73"/>
      <c r="C22" s="51"/>
      <c r="D22" s="82"/>
      <c r="E22" s="64"/>
      <c r="F22" s="91"/>
      <c r="G22" s="82">
        <f>SUM(G18:G21)+G11</f>
        <v>119746.94117647059</v>
      </c>
      <c r="H22" s="64">
        <f>SUM(H18:H21)+H11</f>
        <v>82425.205882352937</v>
      </c>
      <c r="I22" s="64">
        <f>SUM(I18:I21)+I11</f>
        <v>155077.69934640522</v>
      </c>
      <c r="J22" s="91">
        <f>SUM(J18:J21)+J11</f>
        <v>103296.98692810457</v>
      </c>
      <c r="K22" s="91"/>
      <c r="L22" s="541">
        <f>SUM(G22:K22)</f>
        <v>460546.83333333326</v>
      </c>
      <c r="M22" s="71"/>
      <c r="N22" s="98"/>
      <c r="O22" s="71"/>
      <c r="P22" s="99"/>
      <c r="Q22" s="82">
        <f>SUM(Q18:Q20)+Q11</f>
        <v>217678.31587301588</v>
      </c>
      <c r="R22" s="64">
        <f t="shared" ref="R22:T22" si="19">SUM(R18:R20)+R11</f>
        <v>157466.66190476192</v>
      </c>
      <c r="S22" s="64">
        <f t="shared" si="19"/>
        <v>276599.00952380954</v>
      </c>
      <c r="T22" s="91">
        <f t="shared" si="19"/>
        <v>212775.29047619051</v>
      </c>
      <c r="U22" s="381">
        <f>SUM(Q22:T22)</f>
        <v>864519.27777777787</v>
      </c>
    </row>
    <row r="23" spans="1:21">
      <c r="A23" s="52"/>
      <c r="B23" s="73"/>
      <c r="C23" s="51"/>
      <c r="D23" s="82"/>
      <c r="E23" s="64"/>
      <c r="F23" s="91"/>
      <c r="G23" s="82"/>
      <c r="H23" s="64"/>
      <c r="I23" s="64"/>
      <c r="J23" s="91"/>
      <c r="K23" s="91"/>
      <c r="L23" s="536"/>
      <c r="M23" s="71"/>
      <c r="N23" s="98"/>
      <c r="O23" s="71"/>
      <c r="P23" s="99"/>
      <c r="Q23" s="98"/>
      <c r="R23" s="71"/>
      <c r="S23" s="71"/>
      <c r="T23" s="99"/>
      <c r="U23" s="382"/>
    </row>
    <row r="24" spans="1:21" s="1" customFormat="1" ht="13.5" thickBot="1">
      <c r="A24" s="56" t="s">
        <v>194</v>
      </c>
      <c r="B24" s="141"/>
      <c r="C24" s="150"/>
      <c r="D24" s="530"/>
      <c r="E24" s="93"/>
      <c r="F24" s="529"/>
      <c r="G24" s="532">
        <f>G22/G16</f>
        <v>69.620314637482906</v>
      </c>
      <c r="H24" s="95">
        <f>H22/H16</f>
        <v>63.895508435932513</v>
      </c>
      <c r="I24" s="95">
        <f>I22/I16</f>
        <v>67.621089831281338</v>
      </c>
      <c r="J24" s="534">
        <f>J22/J16</f>
        <v>51.476903784769718</v>
      </c>
      <c r="K24" s="534"/>
      <c r="L24" s="128"/>
      <c r="M24" s="113"/>
      <c r="N24" s="112"/>
      <c r="O24" s="113"/>
      <c r="P24" s="100"/>
      <c r="Q24" s="117">
        <f>Q22/Q16</f>
        <v>66.029822812846064</v>
      </c>
      <c r="R24" s="114">
        <f t="shared" ref="R24:T24" si="20">R22/R16</f>
        <v>57.821295681063127</v>
      </c>
      <c r="S24" s="114">
        <f t="shared" si="20"/>
        <v>60.305016611295677</v>
      </c>
      <c r="T24" s="118">
        <f t="shared" si="20"/>
        <v>47.886411960132889</v>
      </c>
      <c r="U24" s="383"/>
    </row>
    <row r="29" spans="1:21">
      <c r="L29" s="22"/>
    </row>
  </sheetData>
  <mergeCells count="6">
    <mergeCell ref="M1:U1"/>
    <mergeCell ref="Q2:T2"/>
    <mergeCell ref="D2:F2"/>
    <mergeCell ref="G2:J2"/>
    <mergeCell ref="N2:P2"/>
    <mergeCell ref="D1:L1"/>
  </mergeCells>
  <phoneticPr fontId="0" type="noConversion"/>
  <printOptions headings="1" gridLines="1"/>
  <pageMargins left="0.19" right="0.34" top="0.984251969" bottom="0.984251969" header="0.4921259845" footer="0.492125984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M23"/>
  <sheetViews>
    <sheetView workbookViewId="0">
      <selection activeCell="F26" sqref="F26"/>
    </sheetView>
  </sheetViews>
  <sheetFormatPr baseColWidth="10" defaultRowHeight="12.75"/>
  <cols>
    <col min="1" max="1" width="24.140625" customWidth="1"/>
    <col min="2" max="2" width="6.7109375" customWidth="1"/>
    <col min="3" max="3" width="6" bestFit="1" customWidth="1"/>
    <col min="4" max="4" width="8.28515625" bestFit="1" customWidth="1"/>
    <col min="5" max="5" width="5.7109375" bestFit="1" customWidth="1"/>
    <col min="6" max="6" width="6" bestFit="1" customWidth="1"/>
    <col min="7" max="7" width="7.42578125" bestFit="1" customWidth="1"/>
    <col min="8" max="8" width="5.7109375" bestFit="1" customWidth="1"/>
    <col min="9" max="9" width="6" bestFit="1" customWidth="1"/>
    <col min="10" max="10" width="8.28515625" bestFit="1" customWidth="1"/>
  </cols>
  <sheetData>
    <row r="1" spans="1:13" ht="46.5" customHeight="1">
      <c r="A1" s="131"/>
      <c r="B1" s="479" t="s">
        <v>469</v>
      </c>
      <c r="C1" s="480"/>
      <c r="D1" s="481"/>
      <c r="E1" s="479" t="s">
        <v>471</v>
      </c>
      <c r="F1" s="480"/>
      <c r="G1" s="481"/>
      <c r="H1" s="479" t="s">
        <v>472</v>
      </c>
      <c r="I1" s="480"/>
      <c r="J1" s="481"/>
    </row>
    <row r="2" spans="1:13" ht="39" customHeight="1">
      <c r="A2" s="132" t="s">
        <v>458</v>
      </c>
      <c r="B2" s="88" t="s">
        <v>448</v>
      </c>
      <c r="C2" s="89" t="s">
        <v>272</v>
      </c>
      <c r="D2" s="119" t="s">
        <v>470</v>
      </c>
      <c r="E2" s="88" t="s">
        <v>448</v>
      </c>
      <c r="F2" s="89" t="s">
        <v>272</v>
      </c>
      <c r="G2" s="119" t="s">
        <v>271</v>
      </c>
      <c r="H2" s="88" t="s">
        <v>448</v>
      </c>
      <c r="I2" s="89" t="s">
        <v>272</v>
      </c>
      <c r="J2" s="119" t="s">
        <v>271</v>
      </c>
    </row>
    <row r="3" spans="1:13">
      <c r="A3" s="50" t="s">
        <v>264</v>
      </c>
      <c r="B3" s="52"/>
      <c r="C3" s="73"/>
      <c r="D3" s="51"/>
      <c r="E3" s="32"/>
      <c r="F3" s="33"/>
      <c r="G3" s="34"/>
      <c r="H3" s="49"/>
      <c r="I3" s="70"/>
      <c r="J3" s="97"/>
    </row>
    <row r="4" spans="1:13">
      <c r="A4" s="52" t="s">
        <v>253</v>
      </c>
      <c r="B4" s="133">
        <f>'TH '!G24</f>
        <v>69.620314637482906</v>
      </c>
      <c r="C4" s="120">
        <v>112</v>
      </c>
      <c r="D4" s="134">
        <f>C4*B4</f>
        <v>7797.4752393980853</v>
      </c>
      <c r="E4" s="81">
        <f>'TH '!Q24</f>
        <v>66.029822812846064</v>
      </c>
      <c r="F4" s="120">
        <f>C4</f>
        <v>112</v>
      </c>
      <c r="G4" s="139">
        <f>E4*F4</f>
        <v>7395.3401550387589</v>
      </c>
      <c r="H4" s="81">
        <f>E4</f>
        <v>66.029822812846064</v>
      </c>
      <c r="I4" s="83">
        <f>F4</f>
        <v>112</v>
      </c>
      <c r="J4" s="139">
        <f>G4</f>
        <v>7395.3401550387589</v>
      </c>
    </row>
    <row r="5" spans="1:13">
      <c r="A5" s="52" t="s">
        <v>255</v>
      </c>
      <c r="B5" s="133">
        <f>'TH '!H24</f>
        <v>63.895508435932513</v>
      </c>
      <c r="C5" s="120">
        <v>120</v>
      </c>
      <c r="D5" s="134">
        <f>C5*B5</f>
        <v>7667.4610123119019</v>
      </c>
      <c r="E5" s="81">
        <f>'TH '!R24</f>
        <v>57.821295681063127</v>
      </c>
      <c r="F5" s="120">
        <f t="shared" ref="F5:F8" si="0">C5</f>
        <v>120</v>
      </c>
      <c r="G5" s="139">
        <f t="shared" ref="G5:G8" si="1">E5*F5</f>
        <v>6938.5554817275752</v>
      </c>
      <c r="H5" s="81">
        <f t="shared" ref="H5:H8" si="2">E5</f>
        <v>57.821295681063127</v>
      </c>
      <c r="I5" s="83">
        <f t="shared" ref="I5:I8" si="3">F5</f>
        <v>120</v>
      </c>
      <c r="J5" s="139">
        <f t="shared" ref="J5:J10" si="4">G5</f>
        <v>6938.5554817275752</v>
      </c>
      <c r="M5" s="6"/>
    </row>
    <row r="6" spans="1:13">
      <c r="A6" s="52" t="s">
        <v>265</v>
      </c>
      <c r="B6" s="133">
        <f>'TH '!I24</f>
        <v>67.621089831281338</v>
      </c>
      <c r="C6" s="120">
        <v>232</v>
      </c>
      <c r="D6" s="134">
        <f>C6*B6</f>
        <v>15688.092840857271</v>
      </c>
      <c r="E6" s="81">
        <f>'TH '!S24</f>
        <v>60.305016611295677</v>
      </c>
      <c r="F6" s="120">
        <f t="shared" si="0"/>
        <v>232</v>
      </c>
      <c r="G6" s="139">
        <f t="shared" si="1"/>
        <v>13990.763853820597</v>
      </c>
      <c r="H6" s="81">
        <f t="shared" si="2"/>
        <v>60.305016611295677</v>
      </c>
      <c r="I6" s="83">
        <f t="shared" si="3"/>
        <v>232</v>
      </c>
      <c r="J6" s="139">
        <f t="shared" si="4"/>
        <v>13990.763853820597</v>
      </c>
    </row>
    <row r="7" spans="1:13">
      <c r="A7" s="52" t="s">
        <v>266</v>
      </c>
      <c r="B7" s="133">
        <f>'TH '!J24</f>
        <v>51.476903784769718</v>
      </c>
      <c r="C7" s="120">
        <v>112</v>
      </c>
      <c r="D7" s="134">
        <f>C7*B7</f>
        <v>5765.4132238942084</v>
      </c>
      <c r="E7" s="81">
        <f>'TH '!T24</f>
        <v>47.886411960132889</v>
      </c>
      <c r="F7" s="120">
        <f t="shared" si="0"/>
        <v>112</v>
      </c>
      <c r="G7" s="139">
        <f t="shared" si="1"/>
        <v>5363.2781395348838</v>
      </c>
      <c r="H7" s="81">
        <f t="shared" si="2"/>
        <v>47.886411960132889</v>
      </c>
      <c r="I7" s="83">
        <f t="shared" si="3"/>
        <v>112</v>
      </c>
      <c r="J7" s="139">
        <f t="shared" si="4"/>
        <v>5363.2781395348838</v>
      </c>
    </row>
    <row r="8" spans="1:13">
      <c r="A8" s="52" t="s">
        <v>269</v>
      </c>
      <c r="B8" s="133">
        <f>'TH '!K24</f>
        <v>0</v>
      </c>
      <c r="C8" s="120">
        <v>56</v>
      </c>
      <c r="D8" s="134">
        <f>C8*B8</f>
        <v>0</v>
      </c>
      <c r="E8" s="81">
        <v>0</v>
      </c>
      <c r="F8" s="120">
        <f t="shared" si="0"/>
        <v>56</v>
      </c>
      <c r="G8" s="139">
        <f t="shared" si="1"/>
        <v>0</v>
      </c>
      <c r="H8" s="81">
        <f t="shared" si="2"/>
        <v>0</v>
      </c>
      <c r="I8" s="83">
        <f t="shared" si="3"/>
        <v>56</v>
      </c>
      <c r="J8" s="139">
        <f t="shared" si="4"/>
        <v>0</v>
      </c>
    </row>
    <row r="9" spans="1:13">
      <c r="A9" s="52" t="s">
        <v>274</v>
      </c>
      <c r="B9" s="96"/>
      <c r="C9" s="94"/>
      <c r="D9" s="111">
        <f>SUM(D4:D8)</f>
        <v>36918.442316461471</v>
      </c>
      <c r="E9" s="49"/>
      <c r="F9" s="70"/>
      <c r="G9" s="92">
        <f>SUM(G4:G8)</f>
        <v>33687.937630121814</v>
      </c>
      <c r="H9" s="49"/>
      <c r="I9" s="70"/>
      <c r="J9" s="92">
        <f>G9</f>
        <v>33687.937630121814</v>
      </c>
    </row>
    <row r="10" spans="1:13">
      <c r="A10" s="50" t="s">
        <v>267</v>
      </c>
      <c r="B10" s="96"/>
      <c r="C10" s="94"/>
      <c r="D10" s="135">
        <v>2000</v>
      </c>
      <c r="E10" s="49"/>
      <c r="F10" s="70"/>
      <c r="G10" s="135">
        <f>D10</f>
        <v>2000</v>
      </c>
      <c r="H10" s="49"/>
      <c r="I10" s="70"/>
      <c r="J10" s="563">
        <f t="shared" si="4"/>
        <v>2000</v>
      </c>
    </row>
    <row r="11" spans="1:13">
      <c r="A11" s="52"/>
      <c r="B11" s="96"/>
      <c r="C11" s="94"/>
      <c r="D11" s="134"/>
      <c r="E11" s="49"/>
      <c r="F11" s="70"/>
      <c r="G11" s="97"/>
      <c r="H11" s="49"/>
      <c r="I11" s="70"/>
      <c r="J11" s="97"/>
    </row>
    <row r="12" spans="1:13">
      <c r="A12" s="50" t="s">
        <v>136</v>
      </c>
      <c r="B12" s="96"/>
      <c r="C12" s="94"/>
      <c r="D12" s="134"/>
      <c r="E12" s="49"/>
      <c r="F12" s="70"/>
      <c r="G12" s="97"/>
      <c r="H12" s="49"/>
      <c r="I12" s="70"/>
      <c r="J12" s="97"/>
    </row>
    <row r="13" spans="1:13">
      <c r="A13" s="52" t="s">
        <v>268</v>
      </c>
      <c r="B13" s="96">
        <f>'Tableau simu'!$B$45</f>
        <v>100</v>
      </c>
      <c r="C13" s="120">
        <v>144</v>
      </c>
      <c r="D13" s="134">
        <f>C13*B13</f>
        <v>14400</v>
      </c>
      <c r="E13" s="96">
        <f>B13</f>
        <v>100</v>
      </c>
      <c r="F13" s="120">
        <f>C13</f>
        <v>144</v>
      </c>
      <c r="G13" s="134">
        <f>F13*E13</f>
        <v>14400</v>
      </c>
      <c r="H13" s="96">
        <f>E13</f>
        <v>100</v>
      </c>
      <c r="I13" s="120">
        <f>F13</f>
        <v>144</v>
      </c>
      <c r="J13" s="134">
        <f>I13*H13</f>
        <v>14400</v>
      </c>
    </row>
    <row r="14" spans="1:13">
      <c r="A14" s="52" t="s">
        <v>269</v>
      </c>
      <c r="B14" s="183">
        <f>IF('Tableau simu'!B43&gt;0,0,100)</f>
        <v>100</v>
      </c>
      <c r="C14" s="120">
        <v>56</v>
      </c>
      <c r="D14" s="134">
        <f>C14*B14</f>
        <v>5600</v>
      </c>
      <c r="E14" s="96">
        <f t="shared" ref="E14:E16" si="5">B14</f>
        <v>100</v>
      </c>
      <c r="F14" s="120">
        <f t="shared" ref="F14:F15" si="6">C14</f>
        <v>56</v>
      </c>
      <c r="G14" s="134">
        <f t="shared" ref="G14:G15" si="7">F14*E14</f>
        <v>5600</v>
      </c>
      <c r="H14" s="96">
        <f t="shared" ref="H14:H16" si="8">E14</f>
        <v>100</v>
      </c>
      <c r="I14" s="120">
        <f t="shared" ref="I14:I15" si="9">F14</f>
        <v>56</v>
      </c>
      <c r="J14" s="134">
        <f t="shared" ref="J14:J16" si="10">I14*H14</f>
        <v>5600</v>
      </c>
    </row>
    <row r="15" spans="1:13">
      <c r="A15" s="52" t="s">
        <v>270</v>
      </c>
      <c r="B15" s="96">
        <f>'Tableau simu'!$B$47</f>
        <v>60</v>
      </c>
      <c r="C15" s="120">
        <v>32</v>
      </c>
      <c r="D15" s="134">
        <f>C15*B15</f>
        <v>1920</v>
      </c>
      <c r="E15" s="96">
        <f t="shared" si="5"/>
        <v>60</v>
      </c>
      <c r="F15" s="120">
        <f t="shared" si="6"/>
        <v>32</v>
      </c>
      <c r="G15" s="134">
        <f t="shared" si="7"/>
        <v>1920</v>
      </c>
      <c r="H15" s="96">
        <f t="shared" si="8"/>
        <v>60</v>
      </c>
      <c r="I15" s="120">
        <f t="shared" si="9"/>
        <v>32</v>
      </c>
      <c r="J15" s="134">
        <f t="shared" si="10"/>
        <v>1920</v>
      </c>
    </row>
    <row r="16" spans="1:13">
      <c r="A16" s="52" t="s">
        <v>349</v>
      </c>
      <c r="B16" s="96">
        <f>'Tableau simu'!$C$48</f>
        <v>700</v>
      </c>
      <c r="C16" s="94"/>
      <c r="D16" s="134"/>
      <c r="E16" s="96">
        <f t="shared" si="5"/>
        <v>700</v>
      </c>
      <c r="F16" s="70"/>
      <c r="G16" s="97"/>
      <c r="H16" s="96">
        <f t="shared" si="8"/>
        <v>700</v>
      </c>
      <c r="I16" s="120">
        <v>24</v>
      </c>
      <c r="J16" s="134">
        <f t="shared" si="10"/>
        <v>16800</v>
      </c>
    </row>
    <row r="17" spans="1:10">
      <c r="A17" s="52" t="s">
        <v>273</v>
      </c>
      <c r="B17" s="96"/>
      <c r="C17" s="94"/>
      <c r="D17" s="111">
        <f>SUM(D13:D15)</f>
        <v>21920</v>
      </c>
      <c r="E17" s="49"/>
      <c r="F17" s="70"/>
      <c r="G17" s="111">
        <f>SUM(G13:G15)</f>
        <v>21920</v>
      </c>
      <c r="H17" s="49"/>
      <c r="I17" s="70"/>
      <c r="J17" s="111">
        <f>SUM(J13:J16)</f>
        <v>38720</v>
      </c>
    </row>
    <row r="18" spans="1:10">
      <c r="A18" s="50" t="s">
        <v>459</v>
      </c>
      <c r="B18" s="136"/>
      <c r="C18" s="68">
        <f>SUM(C4:C15)</f>
        <v>864</v>
      </c>
      <c r="D18" s="111">
        <f>D9+D10+D17</f>
        <v>60838.442316461471</v>
      </c>
      <c r="E18" s="49"/>
      <c r="F18" s="68">
        <f>SUM(F4:F15)</f>
        <v>864</v>
      </c>
      <c r="G18" s="111">
        <f>G17+G9+G10</f>
        <v>57607.937630121814</v>
      </c>
      <c r="H18" s="49"/>
      <c r="I18" s="68">
        <f>SUM(I4:I16)</f>
        <v>888</v>
      </c>
      <c r="J18" s="111">
        <f>J17+J10+J9</f>
        <v>74407.937630121814</v>
      </c>
    </row>
    <row r="19" spans="1:10" ht="13.5" thickBot="1">
      <c r="A19" s="52"/>
      <c r="B19" s="137"/>
      <c r="C19" s="121"/>
      <c r="D19" s="122"/>
      <c r="E19" s="49"/>
      <c r="F19" s="70"/>
      <c r="G19" s="97"/>
      <c r="H19" s="32"/>
      <c r="I19" s="33"/>
      <c r="J19" s="34"/>
    </row>
    <row r="20" spans="1:10">
      <c r="A20" s="123" t="s">
        <v>450</v>
      </c>
      <c r="B20" s="104"/>
      <c r="C20" s="124"/>
      <c r="D20" s="127">
        <f>'Tableau simu'!B16</f>
        <v>100000</v>
      </c>
      <c r="E20" s="104"/>
      <c r="F20" s="124"/>
      <c r="G20" s="127">
        <f>'Tableau simu'!C16</f>
        <v>80000</v>
      </c>
      <c r="H20" s="104"/>
      <c r="I20" s="124"/>
      <c r="J20" s="127">
        <f>'Tableau simu'!D17</f>
        <v>120000</v>
      </c>
    </row>
    <row r="21" spans="1:10" ht="13.5" thickBot="1">
      <c r="A21" s="78" t="s">
        <v>449</v>
      </c>
      <c r="B21" s="138"/>
      <c r="C21" s="125"/>
      <c r="D21" s="128">
        <f>D20*1.196</f>
        <v>119600</v>
      </c>
      <c r="E21" s="140"/>
      <c r="F21" s="126"/>
      <c r="G21" s="128">
        <f>G20*1.196</f>
        <v>95680</v>
      </c>
      <c r="H21" s="140"/>
      <c r="I21" s="126"/>
      <c r="J21" s="128">
        <f>J20*1.196</f>
        <v>143520</v>
      </c>
    </row>
    <row r="23" spans="1:10">
      <c r="A23" s="52" t="s">
        <v>447</v>
      </c>
    </row>
  </sheetData>
  <mergeCells count="3">
    <mergeCell ref="E1:G1"/>
    <mergeCell ref="H1:J1"/>
    <mergeCell ref="B1:D1"/>
  </mergeCells>
  <phoneticPr fontId="9" type="noConversion"/>
  <printOptions headings="1" gridLines="1"/>
  <pageMargins left="0.78740157499999996" right="0.78740157499999996" top="0.984251969" bottom="0.984251969" header="0.4921259845" footer="0.492125984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AB27"/>
  <sheetViews>
    <sheetView topLeftCell="F1" workbookViewId="0">
      <selection activeCell="N22" sqref="N22"/>
    </sheetView>
  </sheetViews>
  <sheetFormatPr baseColWidth="10" defaultRowHeight="12.75"/>
  <cols>
    <col min="1" max="1" width="3" bestFit="1" customWidth="1"/>
    <col min="2" max="2" width="52.85546875" bestFit="1" customWidth="1"/>
    <col min="3" max="3" width="7.85546875" bestFit="1" customWidth="1"/>
    <col min="4" max="8" width="9.7109375" bestFit="1" customWidth="1"/>
    <col min="9" max="10" width="8.7109375" bestFit="1" customWidth="1"/>
    <col min="11" max="12" width="9.140625" bestFit="1" customWidth="1"/>
    <col min="13" max="13" width="9.28515625" bestFit="1" customWidth="1"/>
    <col min="14" max="14" width="9.28515625" style="20" bestFit="1" customWidth="1"/>
    <col min="15" max="15" width="9.140625" bestFit="1" customWidth="1"/>
    <col min="16" max="18" width="8.7109375" bestFit="1" customWidth="1"/>
    <col min="19" max="19" width="9.140625" bestFit="1" customWidth="1"/>
    <col min="20" max="20" width="8.7109375" bestFit="1" customWidth="1"/>
    <col min="21" max="22" width="10.140625" bestFit="1" customWidth="1"/>
    <col min="23" max="23" width="8.7109375" bestFit="1" customWidth="1"/>
    <col min="24" max="25" width="10.140625" bestFit="1" customWidth="1"/>
    <col min="26" max="26" width="10.140625" style="20" bestFit="1" customWidth="1"/>
    <col min="27" max="28" width="8.7109375" bestFit="1" customWidth="1"/>
  </cols>
  <sheetData>
    <row r="1" spans="1:28">
      <c r="A1" s="6">
        <v>1</v>
      </c>
      <c r="B1" s="6" t="s">
        <v>613</v>
      </c>
      <c r="C1" s="6" t="s">
        <v>614</v>
      </c>
      <c r="D1" s="6" t="s">
        <v>331</v>
      </c>
      <c r="E1" s="6" t="s">
        <v>615</v>
      </c>
      <c r="F1" s="6" t="s">
        <v>325</v>
      </c>
      <c r="G1" s="6" t="s">
        <v>616</v>
      </c>
      <c r="H1" s="6" t="s">
        <v>617</v>
      </c>
      <c r="I1" s="6" t="s">
        <v>618</v>
      </c>
      <c r="J1" s="6" t="s">
        <v>324</v>
      </c>
      <c r="K1" s="6" t="s">
        <v>619</v>
      </c>
      <c r="L1" s="6" t="s">
        <v>620</v>
      </c>
      <c r="M1" s="6" t="s">
        <v>326</v>
      </c>
      <c r="N1" s="389" t="s">
        <v>330</v>
      </c>
      <c r="O1" s="390" t="s">
        <v>329</v>
      </c>
      <c r="P1" s="390" t="s">
        <v>621</v>
      </c>
      <c r="Q1" s="390" t="s">
        <v>622</v>
      </c>
      <c r="R1" s="390" t="s">
        <v>623</v>
      </c>
      <c r="S1" s="390" t="s">
        <v>328</v>
      </c>
      <c r="T1" s="390" t="s">
        <v>624</v>
      </c>
      <c r="U1" s="390" t="s">
        <v>625</v>
      </c>
      <c r="V1" s="390" t="s">
        <v>626</v>
      </c>
      <c r="W1" s="390" t="s">
        <v>627</v>
      </c>
      <c r="X1" s="390" t="s">
        <v>628</v>
      </c>
      <c r="Y1" s="390" t="s">
        <v>629</v>
      </c>
      <c r="Z1" s="389" t="s">
        <v>630</v>
      </c>
      <c r="AA1" s="390" t="s">
        <v>631</v>
      </c>
      <c r="AB1" s="390" t="s">
        <v>632</v>
      </c>
    </row>
    <row r="2" spans="1:28" ht="13.5" customHeight="1" thickBot="1">
      <c r="A2" s="6">
        <v>2</v>
      </c>
      <c r="B2" s="482" t="s">
        <v>583</v>
      </c>
      <c r="C2" s="482"/>
      <c r="D2" s="482"/>
      <c r="E2" s="482"/>
      <c r="F2" s="482"/>
      <c r="G2" s="482"/>
      <c r="H2" s="482"/>
      <c r="I2" s="482"/>
      <c r="J2" s="482"/>
      <c r="K2" s="482"/>
      <c r="L2" s="482"/>
      <c r="M2" s="482"/>
      <c r="N2" s="483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60"/>
      <c r="AA2" s="22"/>
      <c r="AB2" s="22"/>
    </row>
    <row r="3" spans="1:28">
      <c r="A3" s="6">
        <v>3</v>
      </c>
      <c r="B3" s="262" t="s">
        <v>591</v>
      </c>
      <c r="C3" s="266" t="s">
        <v>400</v>
      </c>
      <c r="D3" s="266" t="s">
        <v>399</v>
      </c>
      <c r="E3" s="266" t="s">
        <v>240</v>
      </c>
      <c r="F3" s="266" t="s">
        <v>368</v>
      </c>
      <c r="G3" s="266" t="s">
        <v>242</v>
      </c>
      <c r="H3" s="266" t="s">
        <v>243</v>
      </c>
      <c r="I3" s="266" t="s">
        <v>369</v>
      </c>
      <c r="J3" s="266" t="s">
        <v>245</v>
      </c>
      <c r="K3" s="266" t="s">
        <v>370</v>
      </c>
      <c r="L3" s="266" t="s">
        <v>371</v>
      </c>
      <c r="M3" s="266" t="s">
        <v>372</v>
      </c>
      <c r="N3" s="266" t="s">
        <v>373</v>
      </c>
      <c r="O3" s="266" t="s">
        <v>400</v>
      </c>
      <c r="P3" s="266" t="s">
        <v>399</v>
      </c>
      <c r="Q3" s="266" t="s">
        <v>240</v>
      </c>
      <c r="R3" s="266" t="s">
        <v>368</v>
      </c>
      <c r="S3" s="266" t="s">
        <v>242</v>
      </c>
      <c r="T3" s="266" t="s">
        <v>243</v>
      </c>
      <c r="U3" s="266" t="s">
        <v>369</v>
      </c>
      <c r="V3" s="266" t="s">
        <v>245</v>
      </c>
      <c r="W3" s="266" t="s">
        <v>370</v>
      </c>
      <c r="X3" s="266" t="s">
        <v>371</v>
      </c>
      <c r="Y3" s="266" t="s">
        <v>372</v>
      </c>
      <c r="Z3" s="266" t="s">
        <v>373</v>
      </c>
      <c r="AA3" s="266" t="s">
        <v>400</v>
      </c>
      <c r="AB3" s="266" t="s">
        <v>399</v>
      </c>
    </row>
    <row r="4" spans="1:28">
      <c r="A4" s="6">
        <v>4</v>
      </c>
      <c r="B4" s="189" t="s">
        <v>571</v>
      </c>
      <c r="C4" s="445">
        <f>'Prod,Fact,Encaisse'!D39/1.196</f>
        <v>0</v>
      </c>
      <c r="D4" s="445">
        <f>'Prod,Fact,Encaisse'!E39/1.196</f>
        <v>0</v>
      </c>
      <c r="E4" s="445">
        <f>'Prod,Fact,Encaisse'!F39/1.196</f>
        <v>10000</v>
      </c>
      <c r="F4" s="445">
        <f>'Prod,Fact,Encaisse'!G39/1.196</f>
        <v>10000</v>
      </c>
      <c r="G4" s="445">
        <f>'Prod,Fact,Encaisse'!H39/1.196</f>
        <v>50000</v>
      </c>
      <c r="H4" s="445">
        <f>'Prod,Fact,Encaisse'!I39/1.196</f>
        <v>50000</v>
      </c>
      <c r="I4" s="445">
        <f>'Prod,Fact,Encaisse'!J39/1.196</f>
        <v>100000</v>
      </c>
      <c r="J4" s="445">
        <f>'Prod,Fact,Encaisse'!K39/1.196</f>
        <v>100000</v>
      </c>
      <c r="K4" s="445">
        <f>'Prod,Fact,Encaisse'!L39/1.196</f>
        <v>100000</v>
      </c>
      <c r="L4" s="445">
        <f>'Prod,Fact,Encaisse'!M39/1.196</f>
        <v>100000</v>
      </c>
      <c r="M4" s="445">
        <f>'Prod,Fact,Encaisse'!N39/1.196</f>
        <v>100000</v>
      </c>
      <c r="N4" s="445">
        <f>'Prod,Fact,Encaisse'!O39/1.196</f>
        <v>100000</v>
      </c>
      <c r="O4" s="166">
        <f>'Prod,Fact,Encaisse'!P80/1.196</f>
        <v>98000</v>
      </c>
      <c r="P4" s="166">
        <f>'Prod,Fact,Encaisse'!Q80/1.196</f>
        <v>110000</v>
      </c>
      <c r="Q4" s="166">
        <f>'Prod,Fact,Encaisse'!R80/1.196</f>
        <v>90000</v>
      </c>
      <c r="R4" s="166">
        <f>'Prod,Fact,Encaisse'!S80/1.196</f>
        <v>102000</v>
      </c>
      <c r="S4" s="166">
        <f>'Prod,Fact,Encaisse'!T80/1.196</f>
        <v>128000</v>
      </c>
      <c r="T4" s="166">
        <f>'Prod,Fact,Encaisse'!U80/1.196</f>
        <v>92000</v>
      </c>
      <c r="U4" s="166">
        <f>'Prod,Fact,Encaisse'!V80/1.196</f>
        <v>188000</v>
      </c>
      <c r="V4" s="166">
        <f>'Prod,Fact,Encaisse'!W80/1.196</f>
        <v>92000</v>
      </c>
      <c r="W4" s="166">
        <f>'Prod,Fact,Encaisse'!X80/1.196</f>
        <v>188000</v>
      </c>
      <c r="X4" s="166">
        <f>'Prod,Fact,Encaisse'!Y80/1.196</f>
        <v>92000</v>
      </c>
      <c r="Y4" s="166">
        <f>'Prod,Fact,Encaisse'!Z80/1.196</f>
        <v>188000</v>
      </c>
      <c r="Z4" s="166">
        <f>'Prod,Fact,Encaisse'!AA80/1.196</f>
        <v>92000</v>
      </c>
      <c r="AA4" s="166">
        <f>'Prod,Fact,Encaisse'!AB80/1.196</f>
        <v>180000</v>
      </c>
      <c r="AB4" s="166">
        <f>'Prod,Fact,Encaisse'!AC80/1.196</f>
        <v>72000</v>
      </c>
    </row>
    <row r="5" spans="1:28">
      <c r="A5" s="6">
        <v>5</v>
      </c>
      <c r="B5" s="189" t="s">
        <v>577</v>
      </c>
      <c r="C5" s="445">
        <f>C4*0.196</f>
        <v>0</v>
      </c>
      <c r="D5" s="445">
        <f t="shared" ref="D5:AB5" si="0">D4*0.196</f>
        <v>0</v>
      </c>
      <c r="E5" s="445">
        <f t="shared" si="0"/>
        <v>1960</v>
      </c>
      <c r="F5" s="445">
        <f t="shared" si="0"/>
        <v>1960</v>
      </c>
      <c r="G5" s="445">
        <f t="shared" si="0"/>
        <v>9800</v>
      </c>
      <c r="H5" s="445">
        <f t="shared" si="0"/>
        <v>9800</v>
      </c>
      <c r="I5" s="445">
        <f t="shared" si="0"/>
        <v>19600</v>
      </c>
      <c r="J5" s="445">
        <f t="shared" si="0"/>
        <v>19600</v>
      </c>
      <c r="K5" s="445">
        <f t="shared" si="0"/>
        <v>19600</v>
      </c>
      <c r="L5" s="445">
        <f t="shared" si="0"/>
        <v>19600</v>
      </c>
      <c r="M5" s="445">
        <f t="shared" si="0"/>
        <v>19600</v>
      </c>
      <c r="N5" s="445">
        <f t="shared" si="0"/>
        <v>19600</v>
      </c>
      <c r="O5" s="445">
        <f t="shared" si="0"/>
        <v>19208</v>
      </c>
      <c r="P5" s="445">
        <f t="shared" si="0"/>
        <v>21560</v>
      </c>
      <c r="Q5" s="445">
        <f t="shared" si="0"/>
        <v>17640</v>
      </c>
      <c r="R5" s="445">
        <f t="shared" si="0"/>
        <v>19992</v>
      </c>
      <c r="S5" s="445">
        <f t="shared" si="0"/>
        <v>25088</v>
      </c>
      <c r="T5" s="445">
        <f t="shared" si="0"/>
        <v>18032</v>
      </c>
      <c r="U5" s="445">
        <f t="shared" si="0"/>
        <v>36848</v>
      </c>
      <c r="V5" s="445">
        <f t="shared" si="0"/>
        <v>18032</v>
      </c>
      <c r="W5" s="445">
        <f t="shared" si="0"/>
        <v>36848</v>
      </c>
      <c r="X5" s="445">
        <f t="shared" si="0"/>
        <v>18032</v>
      </c>
      <c r="Y5" s="445">
        <f t="shared" si="0"/>
        <v>36848</v>
      </c>
      <c r="Z5" s="445">
        <f t="shared" si="0"/>
        <v>18032</v>
      </c>
      <c r="AA5" s="445">
        <f t="shared" si="0"/>
        <v>35280</v>
      </c>
      <c r="AB5" s="445">
        <f t="shared" si="0"/>
        <v>14112</v>
      </c>
    </row>
    <row r="6" spans="1:28">
      <c r="A6" s="6">
        <v>6</v>
      </c>
      <c r="B6" s="189" t="s">
        <v>580</v>
      </c>
      <c r="C6" s="445">
        <f>C4+C5</f>
        <v>0</v>
      </c>
      <c r="D6" s="445">
        <f>D5+C6</f>
        <v>0</v>
      </c>
      <c r="E6" s="445">
        <f t="shared" ref="E6:N6" si="1">E5+D6</f>
        <v>1960</v>
      </c>
      <c r="F6" s="445">
        <f t="shared" si="1"/>
        <v>3920</v>
      </c>
      <c r="G6" s="445">
        <f t="shared" si="1"/>
        <v>13720</v>
      </c>
      <c r="H6" s="445">
        <f t="shared" si="1"/>
        <v>23520</v>
      </c>
      <c r="I6" s="445">
        <f>I5+H6</f>
        <v>43120</v>
      </c>
      <c r="J6" s="445">
        <f t="shared" si="1"/>
        <v>62720</v>
      </c>
      <c r="K6" s="445">
        <f t="shared" si="1"/>
        <v>82320</v>
      </c>
      <c r="L6" s="445">
        <f t="shared" si="1"/>
        <v>101920</v>
      </c>
      <c r="M6" s="445">
        <f t="shared" si="1"/>
        <v>121520</v>
      </c>
      <c r="N6" s="445">
        <f t="shared" si="1"/>
        <v>141120</v>
      </c>
      <c r="O6" s="445">
        <f>O5</f>
        <v>19208</v>
      </c>
      <c r="P6" s="445">
        <f>O6+P5</f>
        <v>40768</v>
      </c>
      <c r="Q6" s="445">
        <f t="shared" ref="Q6:AB6" si="2">P6+Q5</f>
        <v>58408</v>
      </c>
      <c r="R6" s="445">
        <f t="shared" si="2"/>
        <v>78400</v>
      </c>
      <c r="S6" s="445">
        <f t="shared" si="2"/>
        <v>103488</v>
      </c>
      <c r="T6" s="445">
        <f t="shared" si="2"/>
        <v>121520</v>
      </c>
      <c r="U6" s="445">
        <f t="shared" si="2"/>
        <v>158368</v>
      </c>
      <c r="V6" s="445">
        <f t="shared" si="2"/>
        <v>176400</v>
      </c>
      <c r="W6" s="445">
        <f t="shared" si="2"/>
        <v>213248</v>
      </c>
      <c r="X6" s="445">
        <f t="shared" si="2"/>
        <v>231280</v>
      </c>
      <c r="Y6" s="445">
        <f t="shared" si="2"/>
        <v>268128</v>
      </c>
      <c r="Z6" s="445">
        <f t="shared" si="2"/>
        <v>286160</v>
      </c>
      <c r="AA6" s="445">
        <f t="shared" si="2"/>
        <v>321440</v>
      </c>
      <c r="AB6" s="445">
        <f t="shared" si="2"/>
        <v>335552</v>
      </c>
    </row>
    <row r="7" spans="1:28">
      <c r="A7" s="6">
        <v>7</v>
      </c>
      <c r="B7" s="189" t="s">
        <v>572</v>
      </c>
      <c r="C7" s="445">
        <f>'Prod,Fact,Encaisse'!D40</f>
        <v>0</v>
      </c>
      <c r="D7" s="445">
        <f>'Prod,Fact,Encaisse'!E40</f>
        <v>0</v>
      </c>
      <c r="E7" s="445">
        <f>'Prod,Fact,Encaisse'!F40</f>
        <v>0</v>
      </c>
      <c r="F7" s="445">
        <f>'Prod,Fact,Encaisse'!G40</f>
        <v>11960</v>
      </c>
      <c r="G7" s="445">
        <f>'Prod,Fact,Encaisse'!H40</f>
        <v>11960</v>
      </c>
      <c r="H7" s="445">
        <f>'Prod,Fact,Encaisse'!I40</f>
        <v>59800</v>
      </c>
      <c r="I7" s="445">
        <f>'Prod,Fact,Encaisse'!J40</f>
        <v>59800</v>
      </c>
      <c r="J7" s="445">
        <f>'Prod,Fact,Encaisse'!K40</f>
        <v>119600</v>
      </c>
      <c r="K7" s="445">
        <f>'Prod,Fact,Encaisse'!L40</f>
        <v>119600</v>
      </c>
      <c r="L7" s="445">
        <f>'Prod,Fact,Encaisse'!M40</f>
        <v>119600</v>
      </c>
      <c r="M7" s="445">
        <f>'Prod,Fact,Encaisse'!N40</f>
        <v>119600</v>
      </c>
      <c r="N7" s="445">
        <f>'Prod,Fact,Encaisse'!O40</f>
        <v>119600</v>
      </c>
      <c r="O7" s="261">
        <f>'Prod,Fact,Encaisse'!P81</f>
        <v>119600</v>
      </c>
      <c r="P7" s="261">
        <f>'Prod,Fact,Encaisse'!Q81</f>
        <v>117208</v>
      </c>
      <c r="Q7" s="261">
        <f>'Prod,Fact,Encaisse'!R81</f>
        <v>131560</v>
      </c>
      <c r="R7" s="261">
        <f>'Prod,Fact,Encaisse'!S81</f>
        <v>107640</v>
      </c>
      <c r="S7" s="261">
        <f>'Prod,Fact,Encaisse'!T81</f>
        <v>121992</v>
      </c>
      <c r="T7" s="261">
        <f>'Prod,Fact,Encaisse'!U81</f>
        <v>153088</v>
      </c>
      <c r="U7" s="261">
        <f>'Prod,Fact,Encaisse'!V81</f>
        <v>110032</v>
      </c>
      <c r="V7" s="261">
        <f>'Prod,Fact,Encaisse'!W81</f>
        <v>224848</v>
      </c>
      <c r="W7" s="261">
        <f>'Prod,Fact,Encaisse'!X81</f>
        <v>110032</v>
      </c>
      <c r="X7" s="261">
        <f>'Prod,Fact,Encaisse'!Y81</f>
        <v>224848</v>
      </c>
      <c r="Y7" s="261">
        <f>'Prod,Fact,Encaisse'!Z81</f>
        <v>110032</v>
      </c>
      <c r="Z7" s="261">
        <f>'Prod,Fact,Encaisse'!AA81</f>
        <v>224848</v>
      </c>
      <c r="AA7" s="261">
        <f>'Prod,Fact,Encaisse'!AB81</f>
        <v>110032</v>
      </c>
      <c r="AB7" s="261">
        <f>'Prod,Fact,Encaisse'!AC81</f>
        <v>215280</v>
      </c>
    </row>
    <row r="8" spans="1:28">
      <c r="A8" s="6">
        <v>8</v>
      </c>
      <c r="B8" s="189" t="s">
        <v>582</v>
      </c>
      <c r="C8" s="166">
        <f>(C7/1.196)*0.196</f>
        <v>0</v>
      </c>
      <c r="D8" s="166">
        <f>(C7/1.196)*0.196</f>
        <v>0</v>
      </c>
      <c r="E8" s="166">
        <f t="shared" ref="E8:N8" si="3">(D7/1.196)*0.196</f>
        <v>0</v>
      </c>
      <c r="F8" s="166">
        <f t="shared" si="3"/>
        <v>0</v>
      </c>
      <c r="G8" s="166">
        <f>(F7/1.196)*0.196</f>
        <v>1960</v>
      </c>
      <c r="H8" s="166">
        <f t="shared" si="3"/>
        <v>1960</v>
      </c>
      <c r="I8" s="166">
        <f t="shared" si="3"/>
        <v>9800</v>
      </c>
      <c r="J8" s="166">
        <f t="shared" si="3"/>
        <v>9800</v>
      </c>
      <c r="K8" s="166">
        <f t="shared" si="3"/>
        <v>19600</v>
      </c>
      <c r="L8" s="166">
        <f t="shared" si="3"/>
        <v>19600</v>
      </c>
      <c r="M8" s="166">
        <f t="shared" si="3"/>
        <v>19600</v>
      </c>
      <c r="N8" s="166">
        <f t="shared" si="3"/>
        <v>19600</v>
      </c>
      <c r="O8" s="166">
        <f t="shared" ref="O8" si="4">(N7/1.196)*0.196</f>
        <v>19600</v>
      </c>
      <c r="P8" s="166">
        <f t="shared" ref="P8" si="5">(O7/1.196)*0.196</f>
        <v>19600</v>
      </c>
      <c r="Q8" s="166">
        <f t="shared" ref="Q8" si="6">(P7/1.196)*0.196</f>
        <v>19208</v>
      </c>
      <c r="R8" s="166">
        <f t="shared" ref="R8" si="7">(Q7/1.196)*0.196</f>
        <v>21560</v>
      </c>
      <c r="S8" s="166">
        <f t="shared" ref="S8" si="8">(R7/1.196)*0.196</f>
        <v>17640</v>
      </c>
      <c r="T8" s="166">
        <f t="shared" ref="T8" si="9">(S7/1.196)*0.196</f>
        <v>19992</v>
      </c>
      <c r="U8" s="166">
        <f t="shared" ref="U8" si="10">(T7/1.196)*0.196</f>
        <v>25088</v>
      </c>
      <c r="V8" s="166">
        <f t="shared" ref="V8" si="11">(U7/1.196)*0.196</f>
        <v>18032</v>
      </c>
      <c r="W8" s="166">
        <f t="shared" ref="W8" si="12">(V7/1.196)*0.196</f>
        <v>36848</v>
      </c>
      <c r="X8" s="166">
        <f t="shared" ref="X8" si="13">(W7/1.196)*0.196</f>
        <v>18032</v>
      </c>
      <c r="Y8" s="166">
        <f t="shared" ref="Y8" si="14">(X7/1.196)*0.196</f>
        <v>36848</v>
      </c>
      <c r="Z8" s="166">
        <f t="shared" ref="Z8" si="15">(Y7/1.196)*0.196</f>
        <v>18032</v>
      </c>
      <c r="AA8" s="166">
        <f t="shared" ref="AA8" si="16">(Z7/1.196)*0.196</f>
        <v>36848</v>
      </c>
      <c r="AB8" s="166">
        <f t="shared" ref="AB8" si="17">(AA7/1.196)*0.196</f>
        <v>18032</v>
      </c>
    </row>
    <row r="9" spans="1:28" ht="13.5" thickBot="1">
      <c r="A9" s="6">
        <v>9</v>
      </c>
      <c r="B9" s="264" t="s">
        <v>584</v>
      </c>
      <c r="C9" s="166">
        <f>C8</f>
        <v>0</v>
      </c>
      <c r="D9" s="166">
        <f>IF(C22&gt;0,D8,D8+C9)</f>
        <v>0</v>
      </c>
      <c r="E9" s="166">
        <f>IF(D22&gt;0,E8,E8+D9)</f>
        <v>0</v>
      </c>
      <c r="F9" s="166">
        <f t="shared" ref="F9:AA9" si="18">IF(E22&gt;0,F8,F8+E9)</f>
        <v>0</v>
      </c>
      <c r="G9" s="166">
        <f t="shared" si="18"/>
        <v>1960</v>
      </c>
      <c r="H9" s="166">
        <f t="shared" si="18"/>
        <v>3920</v>
      </c>
      <c r="I9" s="166">
        <f t="shared" si="18"/>
        <v>13720</v>
      </c>
      <c r="J9" s="166">
        <f t="shared" si="18"/>
        <v>23520</v>
      </c>
      <c r="K9" s="166">
        <f t="shared" si="18"/>
        <v>19600</v>
      </c>
      <c r="L9" s="166">
        <f t="shared" si="18"/>
        <v>19600</v>
      </c>
      <c r="M9" s="166">
        <f t="shared" si="18"/>
        <v>19600</v>
      </c>
      <c r="N9" s="166">
        <f t="shared" si="18"/>
        <v>19600</v>
      </c>
      <c r="O9" s="166">
        <f t="shared" ref="O9" si="19">IF(N22&gt;0,O8,O8+N9)</f>
        <v>19600</v>
      </c>
      <c r="P9" s="166">
        <f t="shared" ref="P9" si="20">IF(O22&gt;0,P8,P8+O9)</f>
        <v>19600</v>
      </c>
      <c r="Q9" s="166">
        <f t="shared" ref="Q9" si="21">IF(P22&gt;0,Q8,Q8+P9)</f>
        <v>19208</v>
      </c>
      <c r="R9" s="166">
        <f t="shared" ref="R9" si="22">IF(Q22&gt;0,R8,R8+Q9)</f>
        <v>21560</v>
      </c>
      <c r="S9" s="166">
        <f t="shared" ref="S9" si="23">IF(R22&gt;0,S8,S8+R9)</f>
        <v>17640</v>
      </c>
      <c r="T9" s="166">
        <f t="shared" ref="T9" si="24">IF(S22&gt;0,T8,T8+S9)</f>
        <v>19992</v>
      </c>
      <c r="U9" s="166">
        <f t="shared" ref="U9" si="25">IF(T22&gt;0,U8,U8+T9)</f>
        <v>25088</v>
      </c>
      <c r="V9" s="166">
        <f t="shared" ref="V9" si="26">IF(U22&gt;0,V8,V8+U9)</f>
        <v>18032</v>
      </c>
      <c r="W9" s="166">
        <f t="shared" ref="W9" si="27">IF(V22&gt;0,W8,W8+V9)</f>
        <v>36848</v>
      </c>
      <c r="X9" s="166">
        <f t="shared" ref="X9" si="28">IF(W22&gt;0,X8,X8+W9)</f>
        <v>18032</v>
      </c>
      <c r="Y9" s="166">
        <f t="shared" ref="Y9" si="29">IF(X22&gt;0,Y8,Y8+X9)</f>
        <v>36848</v>
      </c>
      <c r="Z9" s="166">
        <f t="shared" ref="Z9" si="30">IF(Y22&gt;0,Z8,Z8+Y9)</f>
        <v>18032</v>
      </c>
      <c r="AA9" s="166">
        <f t="shared" ref="AA9" si="31">IF(Z22&gt;0,AA8,AA8+Z9)</f>
        <v>36848</v>
      </c>
      <c r="AB9" s="166">
        <f t="shared" ref="AB9" si="32">IF(AA22&gt;0,AB8,AB8+AA9)</f>
        <v>54880</v>
      </c>
    </row>
    <row r="10" spans="1:28" ht="13.5" thickBot="1">
      <c r="A10" s="6">
        <v>10</v>
      </c>
      <c r="B10" s="270" t="s">
        <v>578</v>
      </c>
      <c r="C10" s="221"/>
      <c r="D10" s="221"/>
      <c r="E10" s="221"/>
      <c r="F10" s="221"/>
      <c r="G10" s="221"/>
      <c r="H10" s="221"/>
      <c r="I10" s="221"/>
      <c r="J10" s="221"/>
      <c r="K10" s="221"/>
      <c r="L10" s="221"/>
      <c r="M10" s="267"/>
      <c r="N10" s="268">
        <f>'Produits '!C7*0.196-SUM(C8:N8)</f>
        <v>39200</v>
      </c>
      <c r="O10" s="571"/>
      <c r="P10" s="224"/>
      <c r="Q10" s="224"/>
      <c r="R10" s="224"/>
      <c r="S10" s="224"/>
      <c r="T10" s="224"/>
      <c r="U10" s="224"/>
      <c r="V10" s="224"/>
      <c r="W10" s="224"/>
      <c r="X10" s="224"/>
      <c r="Y10" s="224"/>
      <c r="Z10" s="269">
        <f>'Produits '!D7*0.196-SUM(O8:Z8)</f>
        <v>15680</v>
      </c>
      <c r="AA10" s="224"/>
      <c r="AB10" s="237"/>
    </row>
    <row r="11" spans="1:28" ht="13.5" thickBot="1">
      <c r="A11" s="6">
        <v>11</v>
      </c>
      <c r="B11" s="271"/>
      <c r="C11" s="221"/>
      <c r="D11" s="221"/>
      <c r="E11" s="221"/>
      <c r="F11" s="221"/>
      <c r="G11" s="221"/>
      <c r="H11" s="221"/>
      <c r="I11" s="221"/>
      <c r="J11" s="221"/>
      <c r="K11" s="221"/>
      <c r="L11" s="221"/>
      <c r="M11" s="267"/>
      <c r="N11" s="272"/>
      <c r="O11" s="571"/>
      <c r="P11" s="224"/>
      <c r="Q11" s="224"/>
      <c r="R11" s="224"/>
      <c r="S11" s="224"/>
      <c r="T11" s="224"/>
      <c r="U11" s="224"/>
      <c r="V11" s="224"/>
      <c r="W11" s="224"/>
      <c r="X11" s="224"/>
      <c r="Y11" s="224"/>
      <c r="Z11" s="318"/>
      <c r="AA11" s="224"/>
      <c r="AB11" s="237"/>
    </row>
    <row r="12" spans="1:28">
      <c r="A12" s="6">
        <v>12</v>
      </c>
      <c r="B12" s="236" t="s">
        <v>592</v>
      </c>
      <c r="C12" s="266" t="s">
        <v>400</v>
      </c>
      <c r="D12" s="266" t="s">
        <v>399</v>
      </c>
      <c r="E12" s="266" t="s">
        <v>240</v>
      </c>
      <c r="F12" s="266" t="s">
        <v>368</v>
      </c>
      <c r="G12" s="266" t="s">
        <v>242</v>
      </c>
      <c r="H12" s="266" t="s">
        <v>243</v>
      </c>
      <c r="I12" s="266" t="s">
        <v>369</v>
      </c>
      <c r="J12" s="266" t="s">
        <v>245</v>
      </c>
      <c r="K12" s="266" t="s">
        <v>370</v>
      </c>
      <c r="L12" s="266" t="s">
        <v>371</v>
      </c>
      <c r="M12" s="266" t="s">
        <v>372</v>
      </c>
      <c r="N12" s="266" t="s">
        <v>373</v>
      </c>
      <c r="O12" s="266"/>
      <c r="P12" s="266"/>
      <c r="Q12" s="266"/>
      <c r="R12" s="266"/>
      <c r="S12" s="266"/>
      <c r="T12" s="266"/>
      <c r="U12" s="266"/>
      <c r="V12" s="266"/>
      <c r="W12" s="266"/>
      <c r="X12" s="266"/>
      <c r="Y12" s="266"/>
      <c r="Z12" s="266"/>
      <c r="AA12" s="266"/>
      <c r="AB12" s="266"/>
    </row>
    <row r="13" spans="1:28">
      <c r="A13" s="6">
        <v>13</v>
      </c>
      <c r="B13" s="189" t="s">
        <v>361</v>
      </c>
      <c r="C13" s="446">
        <f>'Personnel,salaires'!D15*0.2*1.196</f>
        <v>3157.44</v>
      </c>
      <c r="D13" s="446">
        <f>'Personnel,salaires'!E15*0.2*1.196</f>
        <v>3157.44</v>
      </c>
      <c r="E13" s="446">
        <f>'Personnel,salaires'!F15*0.2*1.196</f>
        <v>3157.44</v>
      </c>
      <c r="F13" s="446">
        <f>'Personnel,salaires'!G15*0.2*1.196</f>
        <v>3755.44</v>
      </c>
      <c r="G13" s="446">
        <f>'Personnel,salaires'!H15*0.2*1.196</f>
        <v>5453.76</v>
      </c>
      <c r="H13" s="446">
        <f>'Personnel,salaires'!I15*0.2*1.196</f>
        <v>5453.76</v>
      </c>
      <c r="I13" s="446">
        <f>'Personnel,salaires'!J15*0.2*1.196</f>
        <v>5812.5599999999995</v>
      </c>
      <c r="J13" s="446">
        <f>'Personnel,salaires'!K15*0.2*1.196</f>
        <v>5812.5599999999995</v>
      </c>
      <c r="K13" s="446">
        <f>'Personnel,salaires'!L15*0.2*1.196</f>
        <v>5812.5599999999995</v>
      </c>
      <c r="L13" s="446">
        <f>'Personnel,salaires'!M15*0.2*1.196</f>
        <v>5812.5599999999995</v>
      </c>
      <c r="M13" s="446">
        <f>'Personnel,salaires'!N15*0.2*1.196</f>
        <v>5812.5599999999995</v>
      </c>
      <c r="N13" s="446">
        <f>'Personnel,salaires'!O15*0.2*1.196</f>
        <v>5812.5599999999995</v>
      </c>
      <c r="O13" s="261">
        <f>'Personnel,salaires'!R15*0.2*1.196</f>
        <v>7439.12</v>
      </c>
      <c r="P13" s="261">
        <f>'Personnel,salaires'!S15*0.2*1.196</f>
        <v>8276.32</v>
      </c>
      <c r="Q13" s="261">
        <f>'Personnel,salaires'!T15*0.2*1.196</f>
        <v>8276.32</v>
      </c>
      <c r="R13" s="261">
        <f>'Personnel,salaires'!U15*0.2*1.196</f>
        <v>8276.32</v>
      </c>
      <c r="S13" s="261">
        <f>'Personnel,salaires'!V15*0.2*1.196</f>
        <v>8993.92</v>
      </c>
      <c r="T13" s="261">
        <f>'Personnel,salaires'!W15*0.2*1.196</f>
        <v>10142.08</v>
      </c>
      <c r="U13" s="261">
        <f>'Personnel,salaires'!X15*0.2*1.196</f>
        <v>10142.08</v>
      </c>
      <c r="V13" s="261">
        <f>'Personnel,salaires'!Y15*0.2*1.196</f>
        <v>10142.08</v>
      </c>
      <c r="W13" s="261">
        <f>'Personnel,salaires'!Z15*0.2*1.196</f>
        <v>10142.08</v>
      </c>
      <c r="X13" s="261">
        <f>'Personnel,salaires'!AA15*0.2*1.196</f>
        <v>10142.08</v>
      </c>
      <c r="Y13" s="261">
        <f>'Personnel,salaires'!AB15*0.2*1.196</f>
        <v>10142.08</v>
      </c>
      <c r="Z13" s="261">
        <f>'Personnel,salaires'!AC15*0.2*1.196</f>
        <v>10142.08</v>
      </c>
      <c r="AA13" s="261"/>
      <c r="AB13" s="261"/>
    </row>
    <row r="14" spans="1:28">
      <c r="A14" s="6">
        <v>14</v>
      </c>
      <c r="B14" s="189" t="s">
        <v>363</v>
      </c>
      <c r="C14" s="259"/>
      <c r="D14" s="259">
        <f>COUNTIF('Prod,Fact,Encaisse'!E3:E81,"1")*'Budget, PV contrat'!$D$17*1.196</f>
        <v>0</v>
      </c>
      <c r="E14" s="259">
        <f>COUNTIF('Prod,Fact,Encaisse'!B3:B81,"1")*'Budget, PV contrat'!$D$17*1.196</f>
        <v>0</v>
      </c>
      <c r="F14" s="259">
        <f>COUNTIF('Prod,Fact,Encaisse'!C3:C81,"1")*'Budget, PV contrat'!$D$17*1.196</f>
        <v>0</v>
      </c>
      <c r="G14" s="259">
        <f>COUNTIF('Prod,Fact,Encaisse'!D3:D81,"1")*'Budget, PV contrat'!$D$17*1.196</f>
        <v>0</v>
      </c>
      <c r="H14" s="259">
        <f>COUNTIF('Prod,Fact,Encaisse'!E3:E81,"1")*'Budget, PV contrat'!$D$17*1.196</f>
        <v>0</v>
      </c>
      <c r="I14" s="259">
        <f>COUNTIF('Prod,Fact,Encaisse'!F3:F81,"1")*'Budget, PV contrat'!$D$17*1.196</f>
        <v>26216.32</v>
      </c>
      <c r="J14" s="259">
        <f>COUNTIF('Prod,Fact,Encaisse'!G3:G81,"1")*'Budget, PV contrat'!$D$17*1.196</f>
        <v>26216.32</v>
      </c>
      <c r="K14" s="259">
        <f>COUNTIF('Prod,Fact,Encaisse'!H3:H81,"1")*'Budget, PV contrat'!$D$17*1.196</f>
        <v>26216.32</v>
      </c>
      <c r="L14" s="259">
        <f>COUNTIF('Prod,Fact,Encaisse'!I3:I81,"1")*'Budget, PV contrat'!$D$17*1.196</f>
        <v>26216.32</v>
      </c>
      <c r="M14" s="259">
        <f>COUNTIF('Prod,Fact,Encaisse'!J3:J81,"1")*'Budget, PV contrat'!$D$17*1.196</f>
        <v>26216.32</v>
      </c>
      <c r="N14" s="259">
        <f>COUNTIF('Prod,Fact,Encaisse'!K3:K81,"1")*'Budget, PV contrat'!$D$17*1.196</f>
        <v>26216.32</v>
      </c>
      <c r="O14" s="261">
        <v>26216.32</v>
      </c>
      <c r="P14" s="261">
        <v>26216.32</v>
      </c>
      <c r="Q14" s="261">
        <v>26216.32</v>
      </c>
      <c r="R14" s="261">
        <v>26216.32</v>
      </c>
      <c r="S14" s="261">
        <v>26216.32</v>
      </c>
      <c r="T14" s="261">
        <v>26216.32</v>
      </c>
      <c r="U14" s="261">
        <f>26216.32+'Trésorerie '!B10</f>
        <v>72525.440000000002</v>
      </c>
      <c r="V14" s="261">
        <v>26216.32</v>
      </c>
      <c r="W14" s="261">
        <f>U14</f>
        <v>72525.440000000002</v>
      </c>
      <c r="X14" s="261">
        <v>26216.32</v>
      </c>
      <c r="Y14" s="261">
        <f>W14</f>
        <v>72525.440000000002</v>
      </c>
      <c r="Z14" s="261">
        <v>26216.32</v>
      </c>
      <c r="AA14" s="261">
        <v>26216.32</v>
      </c>
      <c r="AB14" s="261">
        <v>26216.32</v>
      </c>
    </row>
    <row r="15" spans="1:28">
      <c r="A15" s="6">
        <v>15</v>
      </c>
      <c r="B15" s="189" t="s">
        <v>362</v>
      </c>
      <c r="C15" s="259">
        <f>Immo!C27*1.196</f>
        <v>68291.599999999991</v>
      </c>
      <c r="D15" s="259"/>
      <c r="E15" s="259"/>
      <c r="F15" s="259"/>
      <c r="G15" s="259"/>
      <c r="H15" s="259"/>
      <c r="I15" s="259"/>
      <c r="J15" s="259"/>
      <c r="K15" s="259"/>
      <c r="L15" s="259"/>
      <c r="M15" s="259"/>
      <c r="N15" s="259"/>
      <c r="O15" s="261">
        <f>Immo!M27*1.196</f>
        <v>31036.199999999997</v>
      </c>
      <c r="P15" s="261"/>
      <c r="Q15" s="224"/>
      <c r="R15" s="224"/>
      <c r="S15" s="224"/>
      <c r="T15" s="224"/>
      <c r="U15" s="224"/>
      <c r="V15" s="224"/>
      <c r="W15" s="224"/>
      <c r="X15" s="224"/>
      <c r="Y15" s="224"/>
      <c r="Z15" s="224"/>
      <c r="AA15" s="224"/>
      <c r="AB15" s="237"/>
    </row>
    <row r="16" spans="1:28">
      <c r="A16" s="6">
        <v>16</v>
      </c>
      <c r="B16" s="189" t="s">
        <v>581</v>
      </c>
      <c r="C16" s="166">
        <f>SUM(C13:C15)/1.196</f>
        <v>59740</v>
      </c>
      <c r="D16" s="166">
        <f t="shared" ref="D16:AB16" si="33">SUM(D13:D15)/1.196</f>
        <v>2640</v>
      </c>
      <c r="E16" s="166">
        <f t="shared" si="33"/>
        <v>2640</v>
      </c>
      <c r="F16" s="166">
        <f t="shared" si="33"/>
        <v>3140</v>
      </c>
      <c r="G16" s="166">
        <f t="shared" si="33"/>
        <v>4560</v>
      </c>
      <c r="H16" s="166">
        <f t="shared" si="33"/>
        <v>4560</v>
      </c>
      <c r="I16" s="166">
        <f t="shared" si="33"/>
        <v>26780</v>
      </c>
      <c r="J16" s="166">
        <f t="shared" si="33"/>
        <v>26780</v>
      </c>
      <c r="K16" s="166">
        <f t="shared" si="33"/>
        <v>26780</v>
      </c>
      <c r="L16" s="166">
        <f t="shared" si="33"/>
        <v>26780</v>
      </c>
      <c r="M16" s="166">
        <f t="shared" si="33"/>
        <v>26780</v>
      </c>
      <c r="N16" s="166">
        <f t="shared" si="33"/>
        <v>26780</v>
      </c>
      <c r="O16" s="166">
        <f t="shared" si="33"/>
        <v>54090</v>
      </c>
      <c r="P16" s="166">
        <f t="shared" si="33"/>
        <v>28840</v>
      </c>
      <c r="Q16" s="166">
        <f t="shared" si="33"/>
        <v>28840</v>
      </c>
      <c r="R16" s="166">
        <f t="shared" si="33"/>
        <v>28840</v>
      </c>
      <c r="S16" s="166">
        <f t="shared" si="33"/>
        <v>29440</v>
      </c>
      <c r="T16" s="166">
        <f t="shared" si="33"/>
        <v>30400.000000000004</v>
      </c>
      <c r="U16" s="166">
        <f t="shared" si="33"/>
        <v>69120</v>
      </c>
      <c r="V16" s="166">
        <f t="shared" si="33"/>
        <v>30400.000000000004</v>
      </c>
      <c r="W16" s="166">
        <f t="shared" si="33"/>
        <v>69120</v>
      </c>
      <c r="X16" s="166">
        <f t="shared" si="33"/>
        <v>30400.000000000004</v>
      </c>
      <c r="Y16" s="166">
        <f t="shared" si="33"/>
        <v>69120</v>
      </c>
      <c r="Z16" s="166">
        <f t="shared" si="33"/>
        <v>30400.000000000004</v>
      </c>
      <c r="AA16" s="166">
        <f t="shared" si="33"/>
        <v>21920</v>
      </c>
      <c r="AB16" s="166">
        <f t="shared" si="33"/>
        <v>21920</v>
      </c>
    </row>
    <row r="17" spans="1:28">
      <c r="A17" s="6">
        <v>17</v>
      </c>
      <c r="B17" s="189" t="s">
        <v>511</v>
      </c>
      <c r="C17" s="166">
        <f>C16*0.196</f>
        <v>11709.04</v>
      </c>
      <c r="D17" s="166">
        <f t="shared" ref="D17:M17" si="34">D16*0.196</f>
        <v>517.44000000000005</v>
      </c>
      <c r="E17" s="166">
        <f t="shared" si="34"/>
        <v>517.44000000000005</v>
      </c>
      <c r="F17" s="166">
        <f t="shared" si="34"/>
        <v>615.44000000000005</v>
      </c>
      <c r="G17" s="166">
        <f t="shared" si="34"/>
        <v>893.76</v>
      </c>
      <c r="H17" s="166">
        <f t="shared" si="34"/>
        <v>893.76</v>
      </c>
      <c r="I17" s="166">
        <f t="shared" si="34"/>
        <v>5248.88</v>
      </c>
      <c r="J17" s="166">
        <f t="shared" si="34"/>
        <v>5248.88</v>
      </c>
      <c r="K17" s="166">
        <f t="shared" si="34"/>
        <v>5248.88</v>
      </c>
      <c r="L17" s="166">
        <f t="shared" si="34"/>
        <v>5248.88</v>
      </c>
      <c r="M17" s="166">
        <f t="shared" si="34"/>
        <v>5248.88</v>
      </c>
      <c r="N17" s="166">
        <f>N16*0.196</f>
        <v>5248.88</v>
      </c>
      <c r="O17" s="166">
        <f t="shared" ref="O17:AB17" si="35">O16*0.196</f>
        <v>10601.640000000001</v>
      </c>
      <c r="P17" s="166">
        <f t="shared" si="35"/>
        <v>5652.64</v>
      </c>
      <c r="Q17" s="166">
        <f t="shared" si="35"/>
        <v>5652.64</v>
      </c>
      <c r="R17" s="166">
        <f t="shared" si="35"/>
        <v>5652.64</v>
      </c>
      <c r="S17" s="166">
        <f t="shared" si="35"/>
        <v>5770.24</v>
      </c>
      <c r="T17" s="166">
        <f t="shared" si="35"/>
        <v>5958.4000000000005</v>
      </c>
      <c r="U17" s="166">
        <f t="shared" si="35"/>
        <v>13547.52</v>
      </c>
      <c r="V17" s="166">
        <f t="shared" si="35"/>
        <v>5958.4000000000005</v>
      </c>
      <c r="W17" s="166">
        <f t="shared" si="35"/>
        <v>13547.52</v>
      </c>
      <c r="X17" s="166">
        <f t="shared" si="35"/>
        <v>5958.4000000000005</v>
      </c>
      <c r="Y17" s="166">
        <f t="shared" si="35"/>
        <v>13547.52</v>
      </c>
      <c r="Z17" s="166">
        <f t="shared" si="35"/>
        <v>5958.4000000000005</v>
      </c>
      <c r="AA17" s="166">
        <f t="shared" si="35"/>
        <v>4296.3200000000006</v>
      </c>
      <c r="AB17" s="166">
        <f t="shared" si="35"/>
        <v>4296.3200000000006</v>
      </c>
    </row>
    <row r="18" spans="1:28">
      <c r="A18" s="6">
        <v>18</v>
      </c>
      <c r="B18" s="189" t="s">
        <v>575</v>
      </c>
      <c r="C18" s="166"/>
      <c r="D18" s="166">
        <f>C17</f>
        <v>11709.04</v>
      </c>
      <c r="E18" s="166">
        <f t="shared" ref="E18:Z18" si="36">D17</f>
        <v>517.44000000000005</v>
      </c>
      <c r="F18" s="166">
        <f t="shared" si="36"/>
        <v>517.44000000000005</v>
      </c>
      <c r="G18" s="166">
        <f t="shared" si="36"/>
        <v>615.44000000000005</v>
      </c>
      <c r="H18" s="166">
        <f t="shared" si="36"/>
        <v>893.76</v>
      </c>
      <c r="I18" s="166">
        <f t="shared" si="36"/>
        <v>893.76</v>
      </c>
      <c r="J18" s="166">
        <f t="shared" si="36"/>
        <v>5248.88</v>
      </c>
      <c r="K18" s="166">
        <f t="shared" si="36"/>
        <v>5248.88</v>
      </c>
      <c r="L18" s="166">
        <f t="shared" si="36"/>
        <v>5248.88</v>
      </c>
      <c r="M18" s="166">
        <f t="shared" si="36"/>
        <v>5248.88</v>
      </c>
      <c r="N18" s="166">
        <f t="shared" si="36"/>
        <v>5248.88</v>
      </c>
      <c r="O18" s="166">
        <f t="shared" ref="O18" si="37">N17</f>
        <v>5248.88</v>
      </c>
      <c r="P18" s="166">
        <f t="shared" ref="P18" si="38">O17</f>
        <v>10601.640000000001</v>
      </c>
      <c r="Q18" s="166">
        <f t="shared" ref="Q18" si="39">P17</f>
        <v>5652.64</v>
      </c>
      <c r="R18" s="166">
        <f t="shared" ref="R18" si="40">Q17</f>
        <v>5652.64</v>
      </c>
      <c r="S18" s="166">
        <f t="shared" ref="S18" si="41">R17</f>
        <v>5652.64</v>
      </c>
      <c r="T18" s="166">
        <f t="shared" ref="T18" si="42">S17</f>
        <v>5770.24</v>
      </c>
      <c r="U18" s="166">
        <f t="shared" ref="U18" si="43">T17</f>
        <v>5958.4000000000005</v>
      </c>
      <c r="V18" s="166">
        <f t="shared" ref="V18" si="44">U17</f>
        <v>13547.52</v>
      </c>
      <c r="W18" s="166">
        <f t="shared" ref="W18" si="45">V17</f>
        <v>5958.4000000000005</v>
      </c>
      <c r="X18" s="166">
        <f t="shared" ref="X18" si="46">W17</f>
        <v>13547.52</v>
      </c>
      <c r="Y18" s="166">
        <f t="shared" ref="Y18" si="47">X17</f>
        <v>5958.4000000000005</v>
      </c>
      <c r="Z18" s="166">
        <f t="shared" ref="Z18" si="48">Y17</f>
        <v>13547.52</v>
      </c>
      <c r="AA18" s="166">
        <f t="shared" ref="AA18" si="49">Z17</f>
        <v>5958.4000000000005</v>
      </c>
      <c r="AB18" s="166">
        <f t="shared" ref="AB18" si="50">AA17</f>
        <v>4296.3200000000006</v>
      </c>
    </row>
    <row r="19" spans="1:28" ht="13.5" thickBot="1">
      <c r="A19" s="6">
        <v>19</v>
      </c>
      <c r="B19" s="189" t="s">
        <v>585</v>
      </c>
      <c r="C19" s="166"/>
      <c r="D19" s="166">
        <f>IF(C22&gt;0,D18,C19+D18)</f>
        <v>11709.04</v>
      </c>
      <c r="E19" s="166">
        <f>IF(D22&gt;0,E18,D19+E18)</f>
        <v>12226.480000000001</v>
      </c>
      <c r="F19" s="166">
        <f t="shared" ref="F19:N19" si="51">IF(E22&gt;0,F18,E19+F18)</f>
        <v>12743.920000000002</v>
      </c>
      <c r="G19" s="166">
        <f t="shared" si="51"/>
        <v>13359.360000000002</v>
      </c>
      <c r="H19" s="166">
        <f t="shared" si="51"/>
        <v>14253.120000000003</v>
      </c>
      <c r="I19" s="166">
        <f t="shared" si="51"/>
        <v>15146.880000000003</v>
      </c>
      <c r="J19" s="166">
        <f t="shared" si="51"/>
        <v>20395.760000000002</v>
      </c>
      <c r="K19" s="166">
        <f t="shared" si="51"/>
        <v>5248.88</v>
      </c>
      <c r="L19" s="166">
        <f t="shared" si="51"/>
        <v>5248.88</v>
      </c>
      <c r="M19" s="166">
        <f t="shared" si="51"/>
        <v>5248.88</v>
      </c>
      <c r="N19" s="166">
        <f t="shared" si="51"/>
        <v>5248.88</v>
      </c>
      <c r="O19" s="166">
        <f t="shared" ref="O19" si="52">IF(N22&gt;0,O18,N19+O18)</f>
        <v>5248.88</v>
      </c>
      <c r="P19" s="166">
        <f t="shared" ref="P19" si="53">IF(O22&gt;0,P18,O19+P18)</f>
        <v>10601.640000000001</v>
      </c>
      <c r="Q19" s="166">
        <f t="shared" ref="Q19" si="54">IF(P22&gt;0,Q18,P19+Q18)</f>
        <v>5652.64</v>
      </c>
      <c r="R19" s="166">
        <f t="shared" ref="R19" si="55">IF(Q22&gt;0,R18,Q19+R18)</f>
        <v>5652.64</v>
      </c>
      <c r="S19" s="166">
        <f t="shared" ref="S19" si="56">IF(R22&gt;0,S18,R19+S18)</f>
        <v>5652.64</v>
      </c>
      <c r="T19" s="166">
        <f t="shared" ref="T19" si="57">IF(S22&gt;0,T18,S19+T18)</f>
        <v>5770.24</v>
      </c>
      <c r="U19" s="166">
        <f t="shared" ref="U19" si="58">IF(T22&gt;0,U18,T19+U18)</f>
        <v>5958.4000000000005</v>
      </c>
      <c r="V19" s="166">
        <f t="shared" ref="V19" si="59">IF(U22&gt;0,V18,U19+V18)</f>
        <v>13547.52</v>
      </c>
      <c r="W19" s="166">
        <f t="shared" ref="W19" si="60">IF(V22&gt;0,W18,V19+W18)</f>
        <v>5958.4000000000005</v>
      </c>
      <c r="X19" s="166">
        <f t="shared" ref="X19" si="61">IF(W22&gt;0,X18,W19+X18)</f>
        <v>13547.52</v>
      </c>
      <c r="Y19" s="166">
        <f t="shared" ref="Y19" si="62">IF(X22&gt;0,Y18,X19+Y18)</f>
        <v>5958.4000000000005</v>
      </c>
      <c r="Z19" s="166">
        <f t="shared" ref="Z19" si="63">IF(Y22&gt;0,Z18,Y19+Z18)</f>
        <v>13547.52</v>
      </c>
      <c r="AA19" s="166">
        <f t="shared" ref="AA19" si="64">IF(Z22&gt;0,AA18,Z19+AA18)</f>
        <v>5958.4000000000005</v>
      </c>
      <c r="AB19" s="166">
        <f t="shared" ref="AB19" si="65">IF(AA22&gt;0,AB18,AA19+AB18)</f>
        <v>10254.720000000001</v>
      </c>
    </row>
    <row r="20" spans="1:28" ht="13.5" thickBot="1">
      <c r="A20" s="6">
        <v>20</v>
      </c>
      <c r="B20" s="270" t="s">
        <v>579</v>
      </c>
      <c r="C20" s="221"/>
      <c r="D20" s="221"/>
      <c r="E20" s="221"/>
      <c r="F20" s="221"/>
      <c r="G20" s="221"/>
      <c r="H20" s="221"/>
      <c r="I20" s="221"/>
      <c r="J20" s="221"/>
      <c r="K20" s="221"/>
      <c r="L20" s="221"/>
      <c r="M20" s="267"/>
      <c r="N20" s="268">
        <f>IF(N9-N19&lt;0,-(N9-N19)+N17,N17)</f>
        <v>5248.88</v>
      </c>
      <c r="O20" s="571"/>
      <c r="P20" s="224"/>
      <c r="Q20" s="224"/>
      <c r="R20" s="224"/>
      <c r="S20" s="224"/>
      <c r="T20" s="224"/>
      <c r="U20" s="224"/>
      <c r="V20" s="224"/>
      <c r="W20" s="224"/>
      <c r="X20" s="224"/>
      <c r="Y20" s="224"/>
      <c r="Z20" s="269">
        <f>IF(Z9-Z19&lt;0,-(Z9-Z19)+Z17,Z17)</f>
        <v>5958.4000000000005</v>
      </c>
      <c r="AA20" s="224"/>
      <c r="AB20" s="237"/>
    </row>
    <row r="21" spans="1:28">
      <c r="A21" s="6">
        <v>21</v>
      </c>
      <c r="B21" s="158" t="s">
        <v>633</v>
      </c>
      <c r="C21" s="221"/>
      <c r="D21" s="166">
        <f>D9-D19</f>
        <v>-11709.04</v>
      </c>
      <c r="E21" s="166">
        <f>E9-E19</f>
        <v>-12226.480000000001</v>
      </c>
      <c r="F21" s="166">
        <f>F9-F19</f>
        <v>-12743.920000000002</v>
      </c>
      <c r="G21" s="166">
        <f>G9-G19</f>
        <v>-11399.360000000002</v>
      </c>
      <c r="H21" s="166">
        <f>H9-H19</f>
        <v>-10333.120000000003</v>
      </c>
      <c r="I21" s="166">
        <f t="shared" ref="I21:M21" si="66">I9-I19</f>
        <v>-1426.8800000000028</v>
      </c>
      <c r="J21" s="166">
        <f t="shared" si="66"/>
        <v>3124.239999999998</v>
      </c>
      <c r="K21" s="166">
        <f>K9-K19</f>
        <v>14351.119999999999</v>
      </c>
      <c r="L21" s="166">
        <f>L9-L19</f>
        <v>14351.119999999999</v>
      </c>
      <c r="M21" s="166">
        <f t="shared" si="66"/>
        <v>14351.119999999999</v>
      </c>
      <c r="N21" s="166">
        <f>N9-N19</f>
        <v>14351.119999999999</v>
      </c>
      <c r="O21" s="166">
        <f t="shared" ref="O21:AB21" si="67">O9-O19</f>
        <v>14351.119999999999</v>
      </c>
      <c r="P21" s="166">
        <f t="shared" si="67"/>
        <v>8998.3599999999988</v>
      </c>
      <c r="Q21" s="166">
        <f t="shared" si="67"/>
        <v>13555.36</v>
      </c>
      <c r="R21" s="166">
        <f t="shared" si="67"/>
        <v>15907.36</v>
      </c>
      <c r="S21" s="166">
        <f t="shared" si="67"/>
        <v>11987.36</v>
      </c>
      <c r="T21" s="166">
        <f t="shared" si="67"/>
        <v>14221.76</v>
      </c>
      <c r="U21" s="166">
        <f t="shared" si="67"/>
        <v>19129.599999999999</v>
      </c>
      <c r="V21" s="166">
        <f t="shared" si="67"/>
        <v>4484.4799999999996</v>
      </c>
      <c r="W21" s="166">
        <f t="shared" si="67"/>
        <v>30889.599999999999</v>
      </c>
      <c r="X21" s="166">
        <f t="shared" si="67"/>
        <v>4484.4799999999996</v>
      </c>
      <c r="Y21" s="166">
        <f t="shared" si="67"/>
        <v>30889.599999999999</v>
      </c>
      <c r="Z21" s="166">
        <f t="shared" si="67"/>
        <v>4484.4799999999996</v>
      </c>
      <c r="AA21" s="166">
        <f t="shared" si="67"/>
        <v>30889.599999999999</v>
      </c>
      <c r="AB21" s="166">
        <f t="shared" si="67"/>
        <v>44625.279999999999</v>
      </c>
    </row>
    <row r="22" spans="1:28" ht="13.5" thickBot="1">
      <c r="A22" s="6">
        <v>22</v>
      </c>
      <c r="B22" s="244" t="s">
        <v>576</v>
      </c>
      <c r="C22" s="181">
        <v>0</v>
      </c>
      <c r="D22" s="181">
        <f>IF(D21&gt;0,D21,0)</f>
        <v>0</v>
      </c>
      <c r="E22" s="181">
        <f>IF(E21&gt;0,E21,0)</f>
        <v>0</v>
      </c>
      <c r="F22" s="181">
        <f t="shared" ref="F22:AB22" si="68">IF(F21&gt;0,F21,0)</f>
        <v>0</v>
      </c>
      <c r="G22" s="181">
        <f t="shared" si="68"/>
        <v>0</v>
      </c>
      <c r="H22" s="181">
        <f t="shared" si="68"/>
        <v>0</v>
      </c>
      <c r="I22" s="181">
        <f t="shared" si="68"/>
        <v>0</v>
      </c>
      <c r="J22" s="181">
        <f t="shared" si="68"/>
        <v>3124.239999999998</v>
      </c>
      <c r="K22" s="181">
        <f t="shared" si="68"/>
        <v>14351.119999999999</v>
      </c>
      <c r="L22" s="181">
        <f t="shared" si="68"/>
        <v>14351.119999999999</v>
      </c>
      <c r="M22" s="181">
        <f t="shared" si="68"/>
        <v>14351.119999999999</v>
      </c>
      <c r="N22" s="181">
        <f t="shared" si="68"/>
        <v>14351.119999999999</v>
      </c>
      <c r="O22" s="181">
        <f t="shared" ref="O22:Z22" si="69">IF((O21&gt;0),O21,0)</f>
        <v>14351.119999999999</v>
      </c>
      <c r="P22" s="181">
        <f t="shared" si="69"/>
        <v>8998.3599999999988</v>
      </c>
      <c r="Q22" s="181">
        <f t="shared" si="69"/>
        <v>13555.36</v>
      </c>
      <c r="R22" s="181">
        <f t="shared" si="69"/>
        <v>15907.36</v>
      </c>
      <c r="S22" s="181">
        <f t="shared" si="69"/>
        <v>11987.36</v>
      </c>
      <c r="T22" s="181">
        <f t="shared" si="69"/>
        <v>14221.76</v>
      </c>
      <c r="U22" s="181">
        <f t="shared" si="69"/>
        <v>19129.599999999999</v>
      </c>
      <c r="V22" s="181">
        <f t="shared" si="69"/>
        <v>4484.4799999999996</v>
      </c>
      <c r="W22" s="181">
        <f t="shared" si="69"/>
        <v>30889.599999999999</v>
      </c>
      <c r="X22" s="181">
        <f t="shared" si="69"/>
        <v>4484.4799999999996</v>
      </c>
      <c r="Y22" s="181">
        <f t="shared" si="69"/>
        <v>30889.599999999999</v>
      </c>
      <c r="Z22" s="181">
        <f t="shared" si="69"/>
        <v>4484.4799999999996</v>
      </c>
      <c r="AA22" s="181"/>
      <c r="AB22" s="181"/>
    </row>
    <row r="27" spans="1:28">
      <c r="V27" s="22"/>
    </row>
  </sheetData>
  <mergeCells count="1">
    <mergeCell ref="B2:N2"/>
  </mergeCells>
  <phoneticPr fontId="9" type="noConversion"/>
  <printOptions headings="1" gridLines="1"/>
  <pageMargins left="0.78740157499999996" right="0.78740157499999996" top="0.984251969" bottom="0.984251969" header="0.4921259845" footer="0.492125984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outlinePr summaryBelow="0"/>
  </sheetPr>
  <dimension ref="A1:AB60"/>
  <sheetViews>
    <sheetView tabSelected="1" topLeftCell="G1" workbookViewId="0">
      <pane ySplit="480" topLeftCell="A11" activePane="bottomLeft"/>
      <selection activeCell="B7" sqref="B7"/>
      <selection pane="bottomLeft" activeCell="AD45" sqref="AD45"/>
    </sheetView>
  </sheetViews>
  <sheetFormatPr baseColWidth="10" defaultRowHeight="12.75" outlineLevelRow="1"/>
  <cols>
    <col min="1" max="1" width="47.7109375" bestFit="1" customWidth="1"/>
    <col min="2" max="3" width="8.28515625" bestFit="1" customWidth="1"/>
    <col min="4" max="4" width="8" bestFit="1" customWidth="1"/>
    <col min="5" max="5" width="8.140625" bestFit="1" customWidth="1"/>
    <col min="6" max="7" width="8.85546875" bestFit="1" customWidth="1"/>
    <col min="8" max="11" width="9" bestFit="1" customWidth="1"/>
    <col min="12" max="13" width="8.85546875" bestFit="1" customWidth="1"/>
    <col min="14" max="14" width="8.85546875" style="20" bestFit="1" customWidth="1"/>
    <col min="15" max="23" width="8.85546875" bestFit="1" customWidth="1"/>
    <col min="24" max="25" width="9.7109375" bestFit="1" customWidth="1"/>
    <col min="26" max="26" width="9.7109375" style="20" bestFit="1" customWidth="1"/>
    <col min="27" max="28" width="9.140625" bestFit="1" customWidth="1"/>
  </cols>
  <sheetData>
    <row r="1" spans="1:28">
      <c r="A1" s="294"/>
      <c r="B1" s="295" t="s">
        <v>151</v>
      </c>
      <c r="C1" s="296" t="s">
        <v>238</v>
      </c>
      <c r="D1" s="296" t="s">
        <v>239</v>
      </c>
      <c r="E1" s="296" t="s">
        <v>240</v>
      </c>
      <c r="F1" s="296" t="s">
        <v>241</v>
      </c>
      <c r="G1" s="296" t="s">
        <v>242</v>
      </c>
      <c r="H1" s="296" t="s">
        <v>243</v>
      </c>
      <c r="I1" s="296" t="s">
        <v>244</v>
      </c>
      <c r="J1" s="296" t="s">
        <v>245</v>
      </c>
      <c r="K1" s="296" t="s">
        <v>246</v>
      </c>
      <c r="L1" s="296" t="s">
        <v>247</v>
      </c>
      <c r="M1" s="296" t="s">
        <v>248</v>
      </c>
      <c r="N1" s="296" t="s">
        <v>249</v>
      </c>
      <c r="O1" s="297" t="s">
        <v>238</v>
      </c>
      <c r="P1" s="297" t="s">
        <v>285</v>
      </c>
      <c r="Q1" s="297" t="s">
        <v>240</v>
      </c>
      <c r="R1" s="297" t="s">
        <v>368</v>
      </c>
      <c r="S1" s="297" t="s">
        <v>242</v>
      </c>
      <c r="T1" s="297" t="s">
        <v>243</v>
      </c>
      <c r="U1" s="297" t="s">
        <v>369</v>
      </c>
      <c r="V1" s="297" t="s">
        <v>245</v>
      </c>
      <c r="W1" s="297" t="s">
        <v>370</v>
      </c>
      <c r="X1" s="297" t="s">
        <v>371</v>
      </c>
      <c r="Y1" s="297" t="s">
        <v>372</v>
      </c>
      <c r="Z1" s="297" t="s">
        <v>373</v>
      </c>
      <c r="AA1" s="297" t="s">
        <v>400</v>
      </c>
      <c r="AB1" s="297" t="s">
        <v>399</v>
      </c>
    </row>
    <row r="2" spans="1:28">
      <c r="A2" s="294" t="s">
        <v>487</v>
      </c>
      <c r="B2" s="295"/>
      <c r="C2" s="296">
        <v>1</v>
      </c>
      <c r="D2" s="296">
        <v>2</v>
      </c>
      <c r="E2" s="296">
        <v>3</v>
      </c>
      <c r="F2" s="296">
        <v>4</v>
      </c>
      <c r="G2" s="296">
        <v>5</v>
      </c>
      <c r="H2" s="296">
        <v>6</v>
      </c>
      <c r="I2" s="296">
        <v>7</v>
      </c>
      <c r="J2" s="296">
        <v>8</v>
      </c>
      <c r="K2" s="296">
        <v>9</v>
      </c>
      <c r="L2" s="296">
        <v>10</v>
      </c>
      <c r="M2" s="296">
        <v>11</v>
      </c>
      <c r="N2" s="296">
        <v>12</v>
      </c>
      <c r="O2" s="296">
        <v>13</v>
      </c>
      <c r="P2" s="296">
        <v>14</v>
      </c>
      <c r="Q2" s="296">
        <v>15</v>
      </c>
      <c r="R2" s="296">
        <v>16</v>
      </c>
      <c r="S2" s="296">
        <v>17</v>
      </c>
      <c r="T2" s="296">
        <v>18</v>
      </c>
      <c r="U2" s="296">
        <v>19</v>
      </c>
      <c r="V2" s="296">
        <v>20</v>
      </c>
      <c r="W2" s="296">
        <v>21</v>
      </c>
      <c r="X2" s="296">
        <v>22</v>
      </c>
      <c r="Y2" s="296">
        <v>23</v>
      </c>
      <c r="Z2" s="296">
        <v>24</v>
      </c>
      <c r="AA2" s="297">
        <v>25</v>
      </c>
      <c r="AB2" s="297">
        <v>26</v>
      </c>
    </row>
    <row r="3" spans="1:28">
      <c r="A3" s="298" t="s">
        <v>206</v>
      </c>
      <c r="B3" s="298"/>
      <c r="C3" s="447">
        <v>0</v>
      </c>
      <c r="D3" s="448">
        <f>C3+C57</f>
        <v>3287.948703750842</v>
      </c>
      <c r="E3" s="448">
        <f t="shared" ref="E3:O3" si="0">D3+D57</f>
        <v>-22732.502592498327</v>
      </c>
      <c r="F3" s="448">
        <f t="shared" si="0"/>
        <v>-48752.953888747492</v>
      </c>
      <c r="G3" s="448">
        <f t="shared" si="0"/>
        <v>-66300.842706600815</v>
      </c>
      <c r="H3" s="448">
        <f t="shared" si="0"/>
        <v>-94681.888618589554</v>
      </c>
      <c r="I3" s="448">
        <f t="shared" si="0"/>
        <v>-78919.166937393733</v>
      </c>
      <c r="J3" s="448">
        <f t="shared" si="0"/>
        <v>-67371.753972131148</v>
      </c>
      <c r="K3" s="448">
        <f t="shared" si="0"/>
        <v>-25983.544992858602</v>
      </c>
      <c r="L3" s="448">
        <f t="shared" si="0"/>
        <v>4274.0124277911345</v>
      </c>
      <c r="M3" s="448">
        <f t="shared" si="0"/>
        <v>34876.471589934808</v>
      </c>
      <c r="N3" s="448">
        <f t="shared" si="0"/>
        <v>65695.460293685639</v>
      </c>
      <c r="O3" s="448">
        <f t="shared" si="0"/>
        <v>96514.44899743647</v>
      </c>
      <c r="P3" s="448">
        <f t="shared" ref="P3" si="1">O3+O57</f>
        <v>118362.8777011873</v>
      </c>
      <c r="Q3" s="448">
        <f t="shared" ref="Q3" si="2">P3+P57</f>
        <v>135154.8664049381</v>
      </c>
      <c r="R3" s="448">
        <f t="shared" ref="R3" si="3">Q3+Q57</f>
        <v>159991.85510868893</v>
      </c>
      <c r="S3" s="448">
        <f t="shared" ref="S3" si="4">R3+R57</f>
        <v>158556.84381243974</v>
      </c>
      <c r="T3" s="448">
        <f t="shared" ref="T3" si="5">S3+S57</f>
        <v>171436.23251619056</v>
      </c>
      <c r="U3" s="448">
        <f t="shared" ref="U3" si="6">T3+T57</f>
        <v>203345.06121994139</v>
      </c>
      <c r="V3" s="448">
        <f t="shared" ref="V3" si="7">U3+U57</f>
        <v>186890.04992369222</v>
      </c>
      <c r="W3" s="448">
        <f t="shared" ref="W3" si="8">V3+V57</f>
        <v>251587.03862744308</v>
      </c>
      <c r="X3" s="448">
        <f t="shared" ref="X3" si="9">W3+W57</f>
        <v>223372.02733119391</v>
      </c>
      <c r="Y3" s="448">
        <f t="shared" ref="Y3" si="10">X3+X57</f>
        <v>288069.01603494474</v>
      </c>
      <c r="Z3" s="448">
        <f t="shared" ref="Z3:AA3" si="11">Y3+Y57</f>
        <v>259854.00473869557</v>
      </c>
      <c r="AA3" s="448">
        <f>Z3+Z57</f>
        <v>324550.9934424464</v>
      </c>
      <c r="AB3" s="448">
        <f>AA3+AA57</f>
        <v>324550.9934424464</v>
      </c>
    </row>
    <row r="4" spans="1:28">
      <c r="A4" s="299" t="s">
        <v>427</v>
      </c>
      <c r="B4" s="162"/>
      <c r="C4" s="450">
        <v>0</v>
      </c>
      <c r="D4" s="450">
        <f>COUNTIF('Prod,Fact,Encaisse'!A3:A38,"1")</f>
        <v>0</v>
      </c>
      <c r="E4" s="450">
        <f>COUNTIF('Prod,Fact,Encaisse'!B3:B38,"1")</f>
        <v>0</v>
      </c>
      <c r="F4" s="450">
        <f>COUNTIF('Prod,Fact,Encaisse'!C3:C38,"1")</f>
        <v>0</v>
      </c>
      <c r="G4" s="450">
        <f>COUNTIF('Prod,Fact,Encaisse'!D3:D38,"1")</f>
        <v>0</v>
      </c>
      <c r="H4" s="450">
        <f>COUNTIF('Prod,Fact,Encaisse'!E3:E38,"1")</f>
        <v>0</v>
      </c>
      <c r="I4" s="450">
        <f>COUNTIF('Prod,Fact,Encaisse'!F3:F38,"1")</f>
        <v>1</v>
      </c>
      <c r="J4" s="450">
        <f>COUNTIF('Prod,Fact,Encaisse'!G3:G38,"1")</f>
        <v>1</v>
      </c>
      <c r="K4" s="450">
        <f>COUNTIF('Prod,Fact,Encaisse'!H3:H38,"1")</f>
        <v>1</v>
      </c>
      <c r="L4" s="450">
        <f>COUNTIF('Prod,Fact,Encaisse'!I3:I38,"1")</f>
        <v>1</v>
      </c>
      <c r="M4" s="450">
        <f>COUNTIF('Prod,Fact,Encaisse'!J3:J38,"1")</f>
        <v>1</v>
      </c>
      <c r="N4" s="450">
        <f>COUNTIF('Prod,Fact,Encaisse'!K3:K38,"1")</f>
        <v>1</v>
      </c>
      <c r="O4" s="450">
        <f>COUNTIF('Prod,Fact,Encaisse'!L3:L38,"1")</f>
        <v>1</v>
      </c>
      <c r="P4" s="450">
        <f>COUNTIF('Prod,Fact,Encaisse'!M3:M38,"1")</f>
        <v>1</v>
      </c>
      <c r="Q4" s="450">
        <f>COUNTIF('Prod,Fact,Encaisse'!N3:N38,"1")</f>
        <v>1</v>
      </c>
      <c r="R4" s="450">
        <f>COUNTIF('Prod,Fact,Encaisse'!O3:O38,"1")</f>
        <v>1</v>
      </c>
      <c r="S4" s="450">
        <f>COUNTIF('Prod,Fact,Encaisse'!P3:P38,"1")</f>
        <v>1</v>
      </c>
      <c r="T4" s="450">
        <f>COUNTIF('Prod,Fact,Encaisse'!Q3:Q38,"1")</f>
        <v>1</v>
      </c>
      <c r="U4" s="450">
        <f>COUNTIF('Prod,Fact,Encaisse'!R3:R38,"1")</f>
        <v>1</v>
      </c>
      <c r="V4" s="450">
        <f>COUNTIF('Prod,Fact,Encaisse'!S3:S38,"1")</f>
        <v>1</v>
      </c>
      <c r="W4" s="450">
        <f>COUNTIF('Prod,Fact,Encaisse'!T3:T38,"1")</f>
        <v>1</v>
      </c>
      <c r="X4" s="450">
        <f>COUNTIF('Prod,Fact,Encaisse'!U3:U38,"1")</f>
        <v>1</v>
      </c>
      <c r="Y4" s="450">
        <f>COUNTIF('Prod,Fact,Encaisse'!V3:V38,"1")</f>
        <v>1</v>
      </c>
      <c r="Z4" s="450">
        <f>COUNTIF('Prod,Fact,Encaisse'!W3:W38,"1")</f>
        <v>1</v>
      </c>
      <c r="AA4" s="450">
        <f>COUNTIF('Prod,Fact,Encaisse'!X3:X38,"1")</f>
        <v>1</v>
      </c>
      <c r="AB4" s="450">
        <f>COUNTIF('Prod,Fact,Encaisse'!Y3:Y38,"1")</f>
        <v>1</v>
      </c>
    </row>
    <row r="5" spans="1:28" ht="14.25" customHeight="1">
      <c r="A5" s="300" t="s">
        <v>428</v>
      </c>
      <c r="B5" s="301"/>
      <c r="C5" s="450">
        <v>0</v>
      </c>
      <c r="D5" s="450">
        <f>COUNTIF('Prod,Fact,Encaisse'!A42:A77,"1")</f>
        <v>0</v>
      </c>
      <c r="E5" s="450">
        <f>COUNTIF('Prod,Fact,Encaisse'!B42:B77,"1")</f>
        <v>0</v>
      </c>
      <c r="F5" s="450">
        <f>COUNTIF('Prod,Fact,Encaisse'!C42:C77,"1")</f>
        <v>0</v>
      </c>
      <c r="G5" s="450">
        <f>COUNTIF('Prod,Fact,Encaisse'!D42:D77,"1")</f>
        <v>0</v>
      </c>
      <c r="H5" s="450">
        <f>COUNTIF('Prod,Fact,Encaisse'!E42:E77,"1")</f>
        <v>0</v>
      </c>
      <c r="I5" s="450">
        <f>COUNTIF('Prod,Fact,Encaisse'!F42:F77,"1")</f>
        <v>0</v>
      </c>
      <c r="J5" s="450">
        <f>COUNTIF('Prod,Fact,Encaisse'!G42:G77,"1")</f>
        <v>0</v>
      </c>
      <c r="K5" s="450">
        <f>COUNTIF('Prod,Fact,Encaisse'!H42:H77,"1")</f>
        <v>0</v>
      </c>
      <c r="L5" s="450">
        <f>COUNTIF('Prod,Fact,Encaisse'!I42:I77,"1")</f>
        <v>0</v>
      </c>
      <c r="M5" s="450">
        <f>COUNTIF('Prod,Fact,Encaisse'!J42:J77,"1")</f>
        <v>0</v>
      </c>
      <c r="N5" s="450">
        <f>COUNTIF('Prod,Fact,Encaisse'!K42:K77,"1")</f>
        <v>0</v>
      </c>
      <c r="O5" s="450">
        <f>COUNTIF('Prod,Fact,Encaisse'!L42:L77,"1")</f>
        <v>0</v>
      </c>
      <c r="P5" s="450">
        <f>COUNTIF('Prod,Fact,Encaisse'!M42:M77,"1")</f>
        <v>0</v>
      </c>
      <c r="Q5" s="450">
        <f>COUNTIF('Prod,Fact,Encaisse'!N42:N77,"1")</f>
        <v>0</v>
      </c>
      <c r="R5" s="450">
        <f>COUNTIF('Prod,Fact,Encaisse'!O42:O77,"1")</f>
        <v>0</v>
      </c>
      <c r="S5" s="450">
        <f>COUNTIF('Prod,Fact,Encaisse'!P42:P77,"1")</f>
        <v>0</v>
      </c>
      <c r="T5" s="450">
        <f>COUNTIF('Prod,Fact,Encaisse'!Q42:Q77,"1")</f>
        <v>1</v>
      </c>
      <c r="U5" s="450">
        <f>COUNTIF('Prod,Fact,Encaisse'!R42:R77,"1")</f>
        <v>0</v>
      </c>
      <c r="V5" s="450">
        <f>COUNTIF('Prod,Fact,Encaisse'!S42:S77,"1")</f>
        <v>1</v>
      </c>
      <c r="W5" s="450">
        <f>COUNTIF('Prod,Fact,Encaisse'!T42:T77,"1")</f>
        <v>0</v>
      </c>
      <c r="X5" s="450">
        <f>COUNTIF('Prod,Fact,Encaisse'!U42:U77,"1")</f>
        <v>1</v>
      </c>
      <c r="Y5" s="450">
        <f>COUNTIF('Prod,Fact,Encaisse'!V42:V77,"1")</f>
        <v>0</v>
      </c>
      <c r="Z5" s="450">
        <f>COUNTIF('Prod,Fact,Encaisse'!W42:W77,"1")</f>
        <v>1</v>
      </c>
      <c r="AA5" s="450">
        <f>COUNTIF('Prod,Fact,Encaisse'!X42:X77,"1")</f>
        <v>0</v>
      </c>
      <c r="AB5" s="450">
        <f>COUNTIF('Prod,Fact,Encaisse'!Y42:Y77,"1")</f>
        <v>1</v>
      </c>
    </row>
    <row r="6" spans="1:28" ht="14.25" customHeight="1">
      <c r="A6" s="300" t="s">
        <v>452</v>
      </c>
      <c r="B6" s="301"/>
      <c r="C6" s="449">
        <f>'Prod,Fact,Encaisse'!D80</f>
        <v>0</v>
      </c>
      <c r="D6" s="449">
        <f>'Prod,Fact,Encaisse'!E80</f>
        <v>0</v>
      </c>
      <c r="E6" s="449">
        <f>'Prod,Fact,Encaisse'!F80</f>
        <v>11960</v>
      </c>
      <c r="F6" s="449">
        <f>'Prod,Fact,Encaisse'!G80</f>
        <v>11960</v>
      </c>
      <c r="G6" s="449">
        <f>'Prod,Fact,Encaisse'!H80</f>
        <v>59800</v>
      </c>
      <c r="H6" s="449">
        <f>'Prod,Fact,Encaisse'!I80</f>
        <v>59800</v>
      </c>
      <c r="I6" s="449">
        <f>'Prod,Fact,Encaisse'!J80</f>
        <v>119600</v>
      </c>
      <c r="J6" s="449">
        <f>'Prod,Fact,Encaisse'!K80</f>
        <v>119600</v>
      </c>
      <c r="K6" s="449">
        <f>'Prod,Fact,Encaisse'!L80</f>
        <v>119600</v>
      </c>
      <c r="L6" s="449">
        <f>'Prod,Fact,Encaisse'!M80</f>
        <v>119600</v>
      </c>
      <c r="M6" s="449">
        <f>'Prod,Fact,Encaisse'!N80</f>
        <v>119600</v>
      </c>
      <c r="N6" s="449">
        <f>'Prod,Fact,Encaisse'!O80</f>
        <v>119600</v>
      </c>
      <c r="O6" s="449">
        <f>'Prod,Fact,Encaisse'!P80</f>
        <v>117208</v>
      </c>
      <c r="P6" s="449">
        <f>'Prod,Fact,Encaisse'!Q80</f>
        <v>131560</v>
      </c>
      <c r="Q6" s="449">
        <f>'Prod,Fact,Encaisse'!R80</f>
        <v>107640</v>
      </c>
      <c r="R6" s="449">
        <f>'Prod,Fact,Encaisse'!S80</f>
        <v>121992</v>
      </c>
      <c r="S6" s="449">
        <f>'Prod,Fact,Encaisse'!T80</f>
        <v>153088</v>
      </c>
      <c r="T6" s="449">
        <f>'Prod,Fact,Encaisse'!U80</f>
        <v>110032</v>
      </c>
      <c r="U6" s="449">
        <f>'Prod,Fact,Encaisse'!V80</f>
        <v>224848</v>
      </c>
      <c r="V6" s="449">
        <f>'Prod,Fact,Encaisse'!W80</f>
        <v>110032</v>
      </c>
      <c r="W6" s="449">
        <f>'Prod,Fact,Encaisse'!X80</f>
        <v>224848</v>
      </c>
      <c r="X6" s="449">
        <f>'Prod,Fact,Encaisse'!Y80</f>
        <v>110032</v>
      </c>
      <c r="Y6" s="449">
        <f>'Prod,Fact,Encaisse'!Z80</f>
        <v>224848</v>
      </c>
      <c r="Z6" s="449">
        <f>'Prod,Fact,Encaisse'!AA80</f>
        <v>110032</v>
      </c>
      <c r="AA6" s="449">
        <f>'Prod,Fact,Encaisse'!AB80</f>
        <v>215280</v>
      </c>
      <c r="AB6" s="449">
        <f>'Prod,Fact,Encaisse'!AC80</f>
        <v>86112</v>
      </c>
    </row>
    <row r="7" spans="1:28" ht="15" customHeight="1">
      <c r="A7" s="303" t="s">
        <v>586</v>
      </c>
      <c r="B7" s="319">
        <f>'Tableau simu'!B23</f>
        <v>30</v>
      </c>
      <c r="C7" s="449">
        <f>B6</f>
        <v>0</v>
      </c>
      <c r="D7" s="449">
        <f t="shared" ref="D7:N7" si="12">C6</f>
        <v>0</v>
      </c>
      <c r="E7" s="449">
        <f t="shared" si="12"/>
        <v>0</v>
      </c>
      <c r="F7" s="449">
        <f t="shared" si="12"/>
        <v>11960</v>
      </c>
      <c r="G7" s="449">
        <f t="shared" si="12"/>
        <v>11960</v>
      </c>
      <c r="H7" s="449">
        <f t="shared" si="12"/>
        <v>59800</v>
      </c>
      <c r="I7" s="449">
        <f t="shared" si="12"/>
        <v>59800</v>
      </c>
      <c r="J7" s="449">
        <f t="shared" si="12"/>
        <v>119600</v>
      </c>
      <c r="K7" s="449">
        <f t="shared" si="12"/>
        <v>119600</v>
      </c>
      <c r="L7" s="449">
        <f t="shared" si="12"/>
        <v>119600</v>
      </c>
      <c r="M7" s="449">
        <f t="shared" si="12"/>
        <v>119600</v>
      </c>
      <c r="N7" s="449">
        <f t="shared" si="12"/>
        <v>119600</v>
      </c>
      <c r="O7" s="449">
        <f t="shared" ref="O7" si="13">N6</f>
        <v>119600</v>
      </c>
      <c r="P7" s="449">
        <f t="shared" ref="P7" si="14">O6</f>
        <v>117208</v>
      </c>
      <c r="Q7" s="449">
        <f t="shared" ref="Q7" si="15">P6</f>
        <v>131560</v>
      </c>
      <c r="R7" s="449">
        <f t="shared" ref="R7" si="16">Q6</f>
        <v>107640</v>
      </c>
      <c r="S7" s="449">
        <f t="shared" ref="S7" si="17">R6</f>
        <v>121992</v>
      </c>
      <c r="T7" s="449">
        <f t="shared" ref="T7" si="18">S6</f>
        <v>153088</v>
      </c>
      <c r="U7" s="449">
        <f t="shared" ref="U7" si="19">T6</f>
        <v>110032</v>
      </c>
      <c r="V7" s="449">
        <f t="shared" ref="V7" si="20">U6</f>
        <v>224848</v>
      </c>
      <c r="W7" s="449">
        <f t="shared" ref="W7" si="21">V6</f>
        <v>110032</v>
      </c>
      <c r="X7" s="449">
        <f t="shared" ref="X7" si="22">W6</f>
        <v>224848</v>
      </c>
      <c r="Y7" s="449">
        <f t="shared" ref="Y7" si="23">X6</f>
        <v>110032</v>
      </c>
      <c r="Z7" s="449">
        <f t="shared" ref="Z7" si="24">Y6</f>
        <v>224848</v>
      </c>
      <c r="AA7" s="449">
        <f t="shared" ref="AA7" si="25">Z6</f>
        <v>110032</v>
      </c>
      <c r="AB7" s="449">
        <f t="shared" ref="AB7" si="26">AA6</f>
        <v>215280</v>
      </c>
    </row>
    <row r="8" spans="1:28">
      <c r="A8" s="298" t="s">
        <v>226</v>
      </c>
      <c r="B8" s="295"/>
      <c r="C8" s="302"/>
      <c r="D8" s="302"/>
      <c r="E8" s="302"/>
      <c r="F8" s="302"/>
      <c r="G8" s="302"/>
      <c r="H8" s="302"/>
      <c r="I8" s="302"/>
      <c r="J8" s="302"/>
      <c r="K8" s="302"/>
      <c r="L8" s="302"/>
      <c r="M8" s="302"/>
      <c r="N8" s="302"/>
      <c r="O8" s="294"/>
      <c r="P8" s="572"/>
      <c r="Q8" s="572"/>
      <c r="R8" s="572"/>
      <c r="S8" s="572"/>
      <c r="T8" s="572"/>
      <c r="U8" s="572"/>
      <c r="V8" s="572"/>
      <c r="W8" s="572"/>
      <c r="X8" s="572"/>
      <c r="Y8" s="572"/>
      <c r="Z8" s="572"/>
      <c r="AA8" s="572"/>
      <c r="AB8" s="572"/>
    </row>
    <row r="9" spans="1:28">
      <c r="A9" s="294" t="s">
        <v>425</v>
      </c>
      <c r="B9" s="301">
        <f>('Budget, PV contrat'!D17)*1.196</f>
        <v>26216.32</v>
      </c>
      <c r="C9" s="302"/>
      <c r="D9" s="302">
        <v>0</v>
      </c>
      <c r="E9" s="302">
        <f>COUNTIF('Prod,Fact,Encaisse'!A3:A38,"1")*$B$9</f>
        <v>0</v>
      </c>
      <c r="F9" s="302">
        <f>COUNTIF('Prod,Fact,Encaisse'!B3:B38,"1")*$B$9</f>
        <v>0</v>
      </c>
      <c r="G9" s="302">
        <f>COUNTIF('Prod,Fact,Encaisse'!C3:C38,"1")*$B$9</f>
        <v>0</v>
      </c>
      <c r="H9" s="302">
        <f>COUNTIF('Prod,Fact,Encaisse'!D3:D38,"1")*$B$9</f>
        <v>0</v>
      </c>
      <c r="I9" s="302">
        <f>COUNTIF('Prod,Fact,Encaisse'!E3:E38,"1")*$B$9</f>
        <v>0</v>
      </c>
      <c r="J9" s="302">
        <f>COUNTIF('Prod,Fact,Encaisse'!F3:F38,"1")*$B$9</f>
        <v>26216.32</v>
      </c>
      <c r="K9" s="302">
        <f>COUNTIF('Prod,Fact,Encaisse'!G3:G38,"1")*$B$9</f>
        <v>26216.32</v>
      </c>
      <c r="L9" s="302">
        <f>COUNTIF('Prod,Fact,Encaisse'!H3:H38,"1")*$B$9</f>
        <v>26216.32</v>
      </c>
      <c r="M9" s="302">
        <f>COUNTIF('Prod,Fact,Encaisse'!I3:I38,"1")*$B$9</f>
        <v>26216.32</v>
      </c>
      <c r="N9" s="302">
        <f>COUNTIF('Prod,Fact,Encaisse'!J3:J38,"1")*$B$9</f>
        <v>26216.32</v>
      </c>
      <c r="O9" s="302">
        <f>IF(O4=1,O4*$B$9,0)</f>
        <v>26216.32</v>
      </c>
      <c r="P9" s="302">
        <f t="shared" ref="P9:AA9" si="27">IF(P4=1,P4*$B$9,0)</f>
        <v>26216.32</v>
      </c>
      <c r="Q9" s="302">
        <f t="shared" si="27"/>
        <v>26216.32</v>
      </c>
      <c r="R9" s="302">
        <f t="shared" si="27"/>
        <v>26216.32</v>
      </c>
      <c r="S9" s="302">
        <f t="shared" si="27"/>
        <v>26216.32</v>
      </c>
      <c r="T9" s="302">
        <f t="shared" si="27"/>
        <v>26216.32</v>
      </c>
      <c r="U9" s="302">
        <f t="shared" si="27"/>
        <v>26216.32</v>
      </c>
      <c r="V9" s="302">
        <f t="shared" si="27"/>
        <v>26216.32</v>
      </c>
      <c r="W9" s="302">
        <f t="shared" si="27"/>
        <v>26216.32</v>
      </c>
      <c r="X9" s="302">
        <f t="shared" si="27"/>
        <v>26216.32</v>
      </c>
      <c r="Y9" s="302">
        <f t="shared" si="27"/>
        <v>26216.32</v>
      </c>
      <c r="Z9" s="302">
        <f t="shared" si="27"/>
        <v>26216.32</v>
      </c>
      <c r="AA9" s="302">
        <f t="shared" si="27"/>
        <v>26216.32</v>
      </c>
      <c r="AB9" s="302"/>
    </row>
    <row r="10" spans="1:28">
      <c r="A10" s="294" t="s">
        <v>426</v>
      </c>
      <c r="B10" s="301">
        <f>('Budget, PV contrat'!J17)*1.196</f>
        <v>46309.119999999995</v>
      </c>
      <c r="C10" s="302"/>
      <c r="D10" s="302">
        <v>0</v>
      </c>
      <c r="E10" s="302">
        <f>COUNTIF('Prod,Fact,Encaisse'!A42:A77,"1")*$B$9</f>
        <v>0</v>
      </c>
      <c r="F10" s="302">
        <f>COUNTIF('Prod,Fact,Encaisse'!B42:B77,"1")*$B$9</f>
        <v>0</v>
      </c>
      <c r="G10" s="302">
        <f>COUNTIF('Prod,Fact,Encaisse'!C42:C77,"1")*$B$9</f>
        <v>0</v>
      </c>
      <c r="H10" s="302">
        <f>COUNTIF('Prod,Fact,Encaisse'!D42:D77,"1")*$B$9</f>
        <v>0</v>
      </c>
      <c r="I10" s="302">
        <f>COUNTIF('Prod,Fact,Encaisse'!E42:E77,"1")*$B$9</f>
        <v>0</v>
      </c>
      <c r="J10" s="302">
        <f>COUNTIF('Prod,Fact,Encaisse'!F42:F77,"1")*$B$9</f>
        <v>0</v>
      </c>
      <c r="K10" s="302">
        <f>COUNTIF('Prod,Fact,Encaisse'!G42:G77,"1")*$B$9</f>
        <v>0</v>
      </c>
      <c r="L10" s="302">
        <f>COUNTIF('Prod,Fact,Encaisse'!H42:H77,"1")*$B$9</f>
        <v>0</v>
      </c>
      <c r="M10" s="302">
        <f>COUNTIF('Prod,Fact,Encaisse'!I42:I77,"1")*$B$9</f>
        <v>0</v>
      </c>
      <c r="N10" s="302">
        <f>COUNTIF('Prod,Fact,Encaisse'!J42:J77,"1")*$B$9</f>
        <v>0</v>
      </c>
      <c r="O10" s="302"/>
      <c r="P10" s="302"/>
      <c r="Q10" s="302"/>
      <c r="R10" s="302"/>
      <c r="S10" s="302"/>
      <c r="T10" s="302"/>
      <c r="U10" s="302"/>
      <c r="V10" s="302">
        <f>X10</f>
        <v>46309.119999999995</v>
      </c>
      <c r="W10" s="302"/>
      <c r="X10" s="302">
        <f>Z10</f>
        <v>46309.119999999995</v>
      </c>
      <c r="Y10" s="302"/>
      <c r="Z10" s="302">
        <f>B10</f>
        <v>46309.119999999995</v>
      </c>
      <c r="AA10" s="302"/>
      <c r="AB10" s="302"/>
    </row>
    <row r="11" spans="1:28" collapsed="1">
      <c r="A11" s="294" t="s">
        <v>30</v>
      </c>
      <c r="B11" s="295"/>
      <c r="C11" s="302">
        <f>'Personnel,salaires'!D15</f>
        <v>13200</v>
      </c>
      <c r="D11" s="302">
        <f>'Personnel,salaires'!E15</f>
        <v>13200</v>
      </c>
      <c r="E11" s="302">
        <f>'Personnel,salaires'!F15</f>
        <v>13200</v>
      </c>
      <c r="F11" s="302">
        <f>'Personnel,salaires'!G15</f>
        <v>15700</v>
      </c>
      <c r="G11" s="302">
        <f>'Personnel,salaires'!H15</f>
        <v>22800</v>
      </c>
      <c r="H11" s="302">
        <f>'Personnel,salaires'!I15</f>
        <v>22800</v>
      </c>
      <c r="I11" s="302">
        <f>'Personnel,salaires'!J15</f>
        <v>24300</v>
      </c>
      <c r="J11" s="302">
        <f>'Personnel,salaires'!K15</f>
        <v>24300</v>
      </c>
      <c r="K11" s="302">
        <f>'Personnel,salaires'!L15</f>
        <v>24300</v>
      </c>
      <c r="L11" s="302">
        <f>'Personnel,salaires'!M15</f>
        <v>24300</v>
      </c>
      <c r="M11" s="302">
        <f>'Personnel,salaires'!N15</f>
        <v>24300</v>
      </c>
      <c r="N11" s="302">
        <f>'Personnel,salaires'!O15</f>
        <v>24300</v>
      </c>
      <c r="O11" s="302">
        <f>'Personnel,salaires'!R15</f>
        <v>31100</v>
      </c>
      <c r="P11" s="302">
        <f>'Personnel,salaires'!S15</f>
        <v>34600</v>
      </c>
      <c r="Q11" s="302">
        <f>'Personnel,salaires'!T15</f>
        <v>34600</v>
      </c>
      <c r="R11" s="302">
        <f>'Personnel,salaires'!U15</f>
        <v>34600</v>
      </c>
      <c r="S11" s="302">
        <f>'Personnel,salaires'!V15</f>
        <v>37600</v>
      </c>
      <c r="T11" s="302">
        <f>'Personnel,salaires'!W15</f>
        <v>42400</v>
      </c>
      <c r="U11" s="302">
        <f>'Personnel,salaires'!X15</f>
        <v>42400</v>
      </c>
      <c r="V11" s="302">
        <f>'Personnel,salaires'!Y15</f>
        <v>42400</v>
      </c>
      <c r="W11" s="302">
        <f>'Personnel,salaires'!Z15</f>
        <v>42400</v>
      </c>
      <c r="X11" s="302">
        <f>'Personnel,salaires'!AA15</f>
        <v>42400</v>
      </c>
      <c r="Y11" s="302">
        <f>'Personnel,salaires'!AB15</f>
        <v>42400</v>
      </c>
      <c r="Z11" s="302">
        <f>'Personnel,salaires'!AC15</f>
        <v>42400</v>
      </c>
      <c r="AA11" s="302"/>
      <c r="AB11" s="302"/>
    </row>
    <row r="12" spans="1:28" hidden="1" outlineLevel="1">
      <c r="A12" s="299" t="s">
        <v>129</v>
      </c>
      <c r="B12" s="295">
        <v>3000</v>
      </c>
      <c r="C12" s="304"/>
      <c r="D12" s="304"/>
      <c r="E12" s="304"/>
      <c r="F12" s="304"/>
      <c r="G12" s="304"/>
      <c r="H12" s="304"/>
      <c r="I12" s="304"/>
      <c r="J12" s="304"/>
      <c r="K12" s="304"/>
      <c r="L12" s="304"/>
      <c r="M12" s="304"/>
      <c r="N12" s="304"/>
      <c r="O12" s="294"/>
      <c r="P12" s="572"/>
      <c r="Q12" s="572"/>
      <c r="R12" s="572"/>
      <c r="S12" s="572"/>
      <c r="T12" s="572"/>
      <c r="U12" s="572"/>
      <c r="V12" s="572"/>
      <c r="W12" s="572"/>
      <c r="X12" s="572"/>
      <c r="Y12" s="572"/>
      <c r="Z12" s="572"/>
      <c r="AA12" s="572"/>
      <c r="AB12" s="572"/>
    </row>
    <row r="13" spans="1:28" hidden="1" outlineLevel="1">
      <c r="A13" s="299" t="s">
        <v>130</v>
      </c>
      <c r="B13" s="295">
        <v>3000</v>
      </c>
      <c r="C13" s="304"/>
      <c r="D13" s="304"/>
      <c r="E13" s="304"/>
      <c r="F13" s="304"/>
      <c r="G13" s="304"/>
      <c r="H13" s="304"/>
      <c r="I13" s="304"/>
      <c r="J13" s="304"/>
      <c r="K13" s="304"/>
      <c r="L13" s="304"/>
      <c r="M13" s="304"/>
      <c r="N13" s="304"/>
      <c r="O13" s="294"/>
      <c r="P13" s="572"/>
      <c r="Q13" s="572"/>
      <c r="R13" s="572"/>
      <c r="S13" s="572"/>
      <c r="T13" s="572"/>
      <c r="U13" s="572"/>
      <c r="V13" s="572"/>
      <c r="W13" s="572"/>
      <c r="X13" s="572"/>
      <c r="Y13" s="572"/>
      <c r="Z13" s="572"/>
      <c r="AA13" s="572"/>
      <c r="AB13" s="572"/>
    </row>
    <row r="14" spans="1:28" hidden="1" outlineLevel="1">
      <c r="A14" s="299" t="s">
        <v>131</v>
      </c>
      <c r="B14" s="295">
        <v>3000</v>
      </c>
      <c r="C14" s="304"/>
      <c r="D14" s="304"/>
      <c r="E14" s="304"/>
      <c r="F14" s="304"/>
      <c r="G14" s="304"/>
      <c r="H14" s="304"/>
      <c r="I14" s="304"/>
      <c r="J14" s="304"/>
      <c r="K14" s="304"/>
      <c r="L14" s="304"/>
      <c r="M14" s="304"/>
      <c r="N14" s="304"/>
      <c r="O14" s="294"/>
      <c r="P14" s="572"/>
      <c r="Q14" s="572"/>
      <c r="R14" s="572"/>
      <c r="S14" s="572"/>
      <c r="T14" s="572"/>
      <c r="U14" s="572"/>
      <c r="V14" s="572"/>
      <c r="W14" s="572"/>
      <c r="X14" s="572"/>
      <c r="Y14" s="572"/>
      <c r="Z14" s="572"/>
      <c r="AA14" s="572"/>
      <c r="AB14" s="572"/>
    </row>
    <row r="15" spans="1:28" hidden="1" outlineLevel="1">
      <c r="A15" s="299" t="s">
        <v>133</v>
      </c>
      <c r="B15" s="295">
        <v>1200</v>
      </c>
      <c r="C15" s="304"/>
      <c r="D15" s="304"/>
      <c r="E15" s="304"/>
      <c r="F15" s="304"/>
      <c r="G15" s="304"/>
      <c r="H15" s="304"/>
      <c r="I15" s="304"/>
      <c r="J15" s="304"/>
      <c r="K15" s="304"/>
      <c r="L15" s="304"/>
      <c r="M15" s="304"/>
      <c r="N15" s="304"/>
      <c r="O15" s="294"/>
      <c r="P15" s="572"/>
      <c r="Q15" s="572"/>
      <c r="R15" s="572"/>
      <c r="S15" s="572"/>
      <c r="T15" s="572"/>
      <c r="U15" s="572"/>
      <c r="V15" s="572"/>
      <c r="W15" s="572"/>
      <c r="X15" s="572"/>
      <c r="Y15" s="572"/>
      <c r="Z15" s="572"/>
      <c r="AA15" s="572"/>
      <c r="AB15" s="572"/>
    </row>
    <row r="16" spans="1:28" hidden="1" outlineLevel="1">
      <c r="A16" s="299" t="s">
        <v>132</v>
      </c>
      <c r="B16" s="295"/>
      <c r="C16" s="304"/>
      <c r="D16" s="304"/>
      <c r="E16" s="304"/>
      <c r="F16" s="304"/>
      <c r="G16" s="304"/>
      <c r="H16" s="304"/>
      <c r="I16" s="304"/>
      <c r="J16" s="304"/>
      <c r="K16" s="304"/>
      <c r="L16" s="304"/>
      <c r="M16" s="304"/>
      <c r="N16" s="304"/>
      <c r="O16" s="294"/>
      <c r="P16" s="572"/>
      <c r="Q16" s="572"/>
      <c r="R16" s="572"/>
      <c r="S16" s="572"/>
      <c r="T16" s="572"/>
      <c r="U16" s="572"/>
      <c r="V16" s="572"/>
      <c r="W16" s="572"/>
      <c r="X16" s="572"/>
      <c r="Y16" s="572"/>
      <c r="Z16" s="572"/>
      <c r="AA16" s="572"/>
      <c r="AB16" s="572"/>
    </row>
    <row r="17" spans="1:28" hidden="1" outlineLevel="1">
      <c r="A17" s="305" t="s">
        <v>202</v>
      </c>
      <c r="B17" s="295">
        <v>3000</v>
      </c>
      <c r="C17" s="304"/>
      <c r="D17" s="304"/>
      <c r="E17" s="304"/>
      <c r="F17" s="304"/>
      <c r="G17" s="304"/>
      <c r="H17" s="304"/>
      <c r="I17" s="304"/>
      <c r="J17" s="304"/>
      <c r="K17" s="304"/>
      <c r="L17" s="304"/>
      <c r="M17" s="304"/>
      <c r="N17" s="304"/>
      <c r="O17" s="294"/>
      <c r="P17" s="572"/>
      <c r="Q17" s="572"/>
      <c r="R17" s="572"/>
      <c r="S17" s="572"/>
      <c r="T17" s="572"/>
      <c r="U17" s="572"/>
      <c r="V17" s="572"/>
      <c r="W17" s="572"/>
      <c r="X17" s="572"/>
      <c r="Y17" s="572"/>
      <c r="Z17" s="572"/>
      <c r="AA17" s="572"/>
      <c r="AB17" s="572"/>
    </row>
    <row r="18" spans="1:28" hidden="1" outlineLevel="1">
      <c r="A18" s="299" t="s">
        <v>150</v>
      </c>
      <c r="B18" s="295"/>
      <c r="C18" s="304"/>
      <c r="D18" s="304"/>
      <c r="E18" s="304"/>
      <c r="F18" s="304"/>
      <c r="G18" s="304"/>
      <c r="H18" s="304"/>
      <c r="I18" s="304"/>
      <c r="J18" s="304"/>
      <c r="K18" s="304"/>
      <c r="L18" s="304"/>
      <c r="M18" s="304"/>
      <c r="N18" s="304"/>
      <c r="O18" s="294"/>
      <c r="P18" s="572"/>
      <c r="Q18" s="572"/>
      <c r="R18" s="572"/>
      <c r="S18" s="572"/>
      <c r="T18" s="572"/>
      <c r="U18" s="572"/>
      <c r="V18" s="572"/>
      <c r="W18" s="572"/>
      <c r="X18" s="572"/>
      <c r="Y18" s="572"/>
      <c r="Z18" s="572"/>
      <c r="AA18" s="572"/>
      <c r="AB18" s="572"/>
    </row>
    <row r="19" spans="1:28" hidden="1" outlineLevel="1">
      <c r="A19" s="305" t="s">
        <v>203</v>
      </c>
      <c r="B19" s="295">
        <v>2500</v>
      </c>
      <c r="C19" s="302"/>
      <c r="D19" s="302"/>
      <c r="E19" s="302"/>
      <c r="F19" s="304"/>
      <c r="G19" s="304"/>
      <c r="H19" s="304"/>
      <c r="I19" s="304"/>
      <c r="J19" s="304"/>
      <c r="K19" s="304"/>
      <c r="L19" s="304"/>
      <c r="M19" s="304"/>
      <c r="N19" s="304"/>
      <c r="O19" s="294"/>
      <c r="P19" s="572"/>
      <c r="Q19" s="572"/>
      <c r="R19" s="572"/>
      <c r="S19" s="572"/>
      <c r="T19" s="572"/>
      <c r="U19" s="572"/>
      <c r="V19" s="572"/>
      <c r="W19" s="572"/>
      <c r="X19" s="572"/>
      <c r="Y19" s="572"/>
      <c r="Z19" s="572"/>
      <c r="AA19" s="572"/>
      <c r="AB19" s="572"/>
    </row>
    <row r="20" spans="1:28" hidden="1" outlineLevel="1">
      <c r="A20" s="299" t="s">
        <v>134</v>
      </c>
      <c r="B20" s="295"/>
      <c r="C20" s="302"/>
      <c r="D20" s="302"/>
      <c r="E20" s="302"/>
      <c r="F20" s="302"/>
      <c r="G20" s="304"/>
      <c r="H20" s="304"/>
      <c r="I20" s="304"/>
      <c r="J20" s="304"/>
      <c r="K20" s="304"/>
      <c r="L20" s="304"/>
      <c r="M20" s="304"/>
      <c r="N20" s="304"/>
      <c r="O20" s="294"/>
      <c r="P20" s="572"/>
      <c r="Q20" s="572"/>
      <c r="R20" s="572"/>
      <c r="S20" s="572"/>
      <c r="T20" s="572"/>
      <c r="U20" s="572"/>
      <c r="V20" s="572"/>
      <c r="W20" s="572"/>
      <c r="X20" s="572"/>
      <c r="Y20" s="572"/>
      <c r="Z20" s="572"/>
      <c r="AA20" s="572"/>
      <c r="AB20" s="572"/>
    </row>
    <row r="21" spans="1:28" hidden="1" outlineLevel="1">
      <c r="A21" s="305" t="s">
        <v>204</v>
      </c>
      <c r="B21" s="295">
        <v>2800</v>
      </c>
      <c r="C21" s="302"/>
      <c r="D21" s="302"/>
      <c r="E21" s="302"/>
      <c r="F21" s="302"/>
      <c r="G21" s="302"/>
      <c r="H21" s="302"/>
      <c r="I21" s="302"/>
      <c r="J21" s="302"/>
      <c r="K21" s="302"/>
      <c r="L21" s="302"/>
      <c r="M21" s="302"/>
      <c r="N21" s="302"/>
      <c r="O21" s="294"/>
      <c r="P21" s="572"/>
      <c r="Q21" s="572"/>
      <c r="R21" s="572"/>
      <c r="S21" s="572"/>
      <c r="T21" s="572"/>
      <c r="U21" s="572"/>
      <c r="V21" s="572"/>
      <c r="W21" s="572"/>
      <c r="X21" s="572"/>
      <c r="Y21" s="572"/>
      <c r="Z21" s="572"/>
      <c r="AA21" s="572"/>
      <c r="AB21" s="572"/>
    </row>
    <row r="22" spans="1:28" hidden="1" outlineLevel="1">
      <c r="A22" s="299" t="s">
        <v>269</v>
      </c>
      <c r="B22" s="295"/>
      <c r="C22" s="302"/>
      <c r="D22" s="302"/>
      <c r="E22" s="302"/>
      <c r="F22" s="302"/>
      <c r="G22" s="302"/>
      <c r="H22" s="302"/>
      <c r="I22" s="302"/>
      <c r="J22" s="302"/>
      <c r="K22" s="302"/>
      <c r="L22" s="302"/>
      <c r="M22" s="302"/>
      <c r="N22" s="302"/>
      <c r="O22" s="294"/>
      <c r="P22" s="572"/>
      <c r="Q22" s="572"/>
      <c r="R22" s="572"/>
      <c r="S22" s="572"/>
      <c r="T22" s="572"/>
      <c r="U22" s="572"/>
      <c r="V22" s="572"/>
      <c r="W22" s="572"/>
      <c r="X22" s="572"/>
      <c r="Y22" s="572"/>
      <c r="Z22" s="572"/>
      <c r="AA22" s="572"/>
      <c r="AB22" s="572"/>
    </row>
    <row r="23" spans="1:28" hidden="1" outlineLevel="1">
      <c r="A23" s="305" t="s">
        <v>509</v>
      </c>
      <c r="B23" s="295">
        <f>'Tableau simu'!B43</f>
        <v>0</v>
      </c>
      <c r="C23" s="302"/>
      <c r="D23" s="302"/>
      <c r="E23" s="302"/>
      <c r="F23" s="302"/>
      <c r="G23" s="302"/>
      <c r="H23" s="302"/>
      <c r="I23" s="302"/>
      <c r="J23" s="302"/>
      <c r="K23" s="302"/>
      <c r="L23" s="302"/>
      <c r="M23" s="302"/>
      <c r="N23" s="302"/>
      <c r="O23" s="294"/>
      <c r="P23" s="572"/>
      <c r="Q23" s="572"/>
      <c r="R23" s="572"/>
      <c r="S23" s="572"/>
      <c r="T23" s="572"/>
      <c r="U23" s="572"/>
      <c r="V23" s="572"/>
      <c r="W23" s="572"/>
      <c r="X23" s="572"/>
      <c r="Y23" s="572"/>
      <c r="Z23" s="572"/>
      <c r="AA23" s="572"/>
      <c r="AB23" s="572"/>
    </row>
    <row r="24" spans="1:28" hidden="1" outlineLevel="1">
      <c r="A24" s="299" t="s">
        <v>135</v>
      </c>
      <c r="B24" s="295"/>
      <c r="C24" s="302"/>
      <c r="D24" s="302"/>
      <c r="E24" s="302"/>
      <c r="F24" s="302"/>
      <c r="G24" s="304"/>
      <c r="H24" s="304"/>
      <c r="I24" s="304"/>
      <c r="J24" s="304"/>
      <c r="K24" s="304"/>
      <c r="L24" s="304"/>
      <c r="M24" s="304"/>
      <c r="N24" s="304"/>
      <c r="O24" s="294"/>
      <c r="P24" s="572"/>
      <c r="Q24" s="572"/>
      <c r="R24" s="572"/>
      <c r="S24" s="572"/>
      <c r="T24" s="572"/>
      <c r="U24" s="572"/>
      <c r="V24" s="572"/>
      <c r="W24" s="572"/>
      <c r="X24" s="572"/>
      <c r="Y24" s="572"/>
      <c r="Z24" s="572"/>
      <c r="AA24" s="572"/>
      <c r="AB24" s="572"/>
    </row>
    <row r="25" spans="1:28" hidden="1" outlineLevel="1">
      <c r="A25" s="305" t="s">
        <v>205</v>
      </c>
      <c r="B25" s="295">
        <v>1500</v>
      </c>
      <c r="C25" s="302"/>
      <c r="D25" s="302"/>
      <c r="E25" s="302"/>
      <c r="F25" s="302"/>
      <c r="G25" s="302"/>
      <c r="H25" s="302"/>
      <c r="I25" s="302"/>
      <c r="J25" s="302"/>
      <c r="K25" s="302"/>
      <c r="L25" s="302"/>
      <c r="M25" s="302"/>
      <c r="N25" s="302"/>
      <c r="O25" s="294"/>
      <c r="P25" s="572"/>
      <c r="Q25" s="572"/>
      <c r="R25" s="572"/>
      <c r="S25" s="572"/>
      <c r="T25" s="572"/>
      <c r="U25" s="572"/>
      <c r="V25" s="572"/>
      <c r="W25" s="572"/>
      <c r="X25" s="572"/>
      <c r="Y25" s="572"/>
      <c r="Z25" s="572"/>
      <c r="AA25" s="572"/>
      <c r="AB25" s="572"/>
    </row>
    <row r="26" spans="1:28">
      <c r="A26" s="299" t="s">
        <v>283</v>
      </c>
      <c r="B26" s="306">
        <f>'Tableau simu'!B49</f>
        <v>0.5</v>
      </c>
      <c r="C26" s="302">
        <v>0</v>
      </c>
      <c r="D26" s="302">
        <f>$B$26*C11</f>
        <v>6600</v>
      </c>
      <c r="E26" s="302">
        <f t="shared" ref="E26:N26" si="28">$B$26*D11</f>
        <v>6600</v>
      </c>
      <c r="F26" s="302">
        <f t="shared" si="28"/>
        <v>6600</v>
      </c>
      <c r="G26" s="302">
        <f t="shared" si="28"/>
        <v>7850</v>
      </c>
      <c r="H26" s="302">
        <f t="shared" si="28"/>
        <v>11400</v>
      </c>
      <c r="I26" s="302">
        <f t="shared" si="28"/>
        <v>11400</v>
      </c>
      <c r="J26" s="302">
        <f t="shared" si="28"/>
        <v>12150</v>
      </c>
      <c r="K26" s="302">
        <f t="shared" si="28"/>
        <v>12150</v>
      </c>
      <c r="L26" s="302">
        <f t="shared" si="28"/>
        <v>12150</v>
      </c>
      <c r="M26" s="302">
        <f t="shared" si="28"/>
        <v>12150</v>
      </c>
      <c r="N26" s="302">
        <f>$B$26*M11</f>
        <v>12150</v>
      </c>
      <c r="O26" s="302">
        <f t="shared" ref="O26:AA26" si="29">$B$26*N11</f>
        <v>12150</v>
      </c>
      <c r="P26" s="302">
        <f t="shared" si="29"/>
        <v>15550</v>
      </c>
      <c r="Q26" s="302">
        <f t="shared" si="29"/>
        <v>17300</v>
      </c>
      <c r="R26" s="302">
        <f t="shared" si="29"/>
        <v>17300</v>
      </c>
      <c r="S26" s="302">
        <f t="shared" si="29"/>
        <v>17300</v>
      </c>
      <c r="T26" s="302">
        <f t="shared" si="29"/>
        <v>18800</v>
      </c>
      <c r="U26" s="302">
        <f t="shared" si="29"/>
        <v>21200</v>
      </c>
      <c r="V26" s="302">
        <f t="shared" si="29"/>
        <v>21200</v>
      </c>
      <c r="W26" s="302">
        <f t="shared" si="29"/>
        <v>21200</v>
      </c>
      <c r="X26" s="302">
        <f t="shared" si="29"/>
        <v>21200</v>
      </c>
      <c r="Y26" s="302">
        <f t="shared" si="29"/>
        <v>21200</v>
      </c>
      <c r="Z26" s="302">
        <f t="shared" si="29"/>
        <v>21200</v>
      </c>
      <c r="AA26" s="302">
        <f t="shared" si="29"/>
        <v>21200</v>
      </c>
      <c r="AB26" s="302"/>
    </row>
    <row r="27" spans="1:28">
      <c r="A27" s="294" t="s">
        <v>200</v>
      </c>
      <c r="B27" s="306">
        <f>'Tableau simu'!B51</f>
        <v>0.2</v>
      </c>
      <c r="C27" s="302">
        <f>$B$27*C11*1.196</f>
        <v>3157.44</v>
      </c>
      <c r="D27" s="302">
        <f t="shared" ref="D27:Z27" si="30">$B$27*D11*1.196</f>
        <v>3157.44</v>
      </c>
      <c r="E27" s="302">
        <f t="shared" si="30"/>
        <v>3157.44</v>
      </c>
      <c r="F27" s="302">
        <f t="shared" si="30"/>
        <v>3755.44</v>
      </c>
      <c r="G27" s="302">
        <f t="shared" si="30"/>
        <v>5453.76</v>
      </c>
      <c r="H27" s="302">
        <f t="shared" si="30"/>
        <v>5453.76</v>
      </c>
      <c r="I27" s="302">
        <f t="shared" si="30"/>
        <v>5812.5599999999995</v>
      </c>
      <c r="J27" s="302">
        <f t="shared" si="30"/>
        <v>5812.5599999999995</v>
      </c>
      <c r="K27" s="302">
        <f t="shared" si="30"/>
        <v>5812.5599999999995</v>
      </c>
      <c r="L27" s="302">
        <f t="shared" si="30"/>
        <v>5812.5599999999995</v>
      </c>
      <c r="M27" s="302">
        <f t="shared" si="30"/>
        <v>5812.5599999999995</v>
      </c>
      <c r="N27" s="302">
        <f t="shared" si="30"/>
        <v>5812.5599999999995</v>
      </c>
      <c r="O27" s="302">
        <f t="shared" si="30"/>
        <v>7439.12</v>
      </c>
      <c r="P27" s="302">
        <f t="shared" si="30"/>
        <v>8276.32</v>
      </c>
      <c r="Q27" s="302">
        <f t="shared" si="30"/>
        <v>8276.32</v>
      </c>
      <c r="R27" s="302">
        <f t="shared" si="30"/>
        <v>8276.32</v>
      </c>
      <c r="S27" s="302">
        <f t="shared" si="30"/>
        <v>8993.92</v>
      </c>
      <c r="T27" s="302">
        <f t="shared" si="30"/>
        <v>10142.08</v>
      </c>
      <c r="U27" s="302">
        <f t="shared" si="30"/>
        <v>10142.08</v>
      </c>
      <c r="V27" s="302">
        <f t="shared" si="30"/>
        <v>10142.08</v>
      </c>
      <c r="W27" s="302">
        <f t="shared" si="30"/>
        <v>10142.08</v>
      </c>
      <c r="X27" s="302">
        <f t="shared" si="30"/>
        <v>10142.08</v>
      </c>
      <c r="Y27" s="302">
        <f t="shared" si="30"/>
        <v>10142.08</v>
      </c>
      <c r="Z27" s="302">
        <f t="shared" si="30"/>
        <v>10142.08</v>
      </c>
      <c r="AA27" s="572"/>
      <c r="AB27" s="572"/>
    </row>
    <row r="28" spans="1:28" collapsed="1">
      <c r="A28" s="294" t="s">
        <v>201</v>
      </c>
      <c r="B28" s="306">
        <f>'Tableau simu'!B52</f>
        <v>0.08</v>
      </c>
      <c r="C28" s="302">
        <f>$B$28*C11</f>
        <v>1056</v>
      </c>
      <c r="D28" s="302">
        <f t="shared" ref="D28:Z28" si="31">$B$28*D11</f>
        <v>1056</v>
      </c>
      <c r="E28" s="302">
        <f t="shared" si="31"/>
        <v>1056</v>
      </c>
      <c r="F28" s="302">
        <f t="shared" si="31"/>
        <v>1256</v>
      </c>
      <c r="G28" s="302">
        <f t="shared" si="31"/>
        <v>1824</v>
      </c>
      <c r="H28" s="302">
        <f t="shared" si="31"/>
        <v>1824</v>
      </c>
      <c r="I28" s="302">
        <f t="shared" si="31"/>
        <v>1944</v>
      </c>
      <c r="J28" s="302">
        <f t="shared" si="31"/>
        <v>1944</v>
      </c>
      <c r="K28" s="302">
        <f t="shared" si="31"/>
        <v>1944</v>
      </c>
      <c r="L28" s="302">
        <f t="shared" si="31"/>
        <v>1944</v>
      </c>
      <c r="M28" s="302">
        <f t="shared" si="31"/>
        <v>1944</v>
      </c>
      <c r="N28" s="302">
        <f t="shared" si="31"/>
        <v>1944</v>
      </c>
      <c r="O28" s="302">
        <f t="shared" si="31"/>
        <v>2488</v>
      </c>
      <c r="P28" s="302">
        <f t="shared" si="31"/>
        <v>2768</v>
      </c>
      <c r="Q28" s="302">
        <f t="shared" si="31"/>
        <v>2768</v>
      </c>
      <c r="R28" s="302">
        <f t="shared" si="31"/>
        <v>2768</v>
      </c>
      <c r="S28" s="302">
        <f t="shared" si="31"/>
        <v>3008</v>
      </c>
      <c r="T28" s="302">
        <f t="shared" si="31"/>
        <v>3392</v>
      </c>
      <c r="U28" s="302">
        <f t="shared" si="31"/>
        <v>3392</v>
      </c>
      <c r="V28" s="302">
        <f t="shared" si="31"/>
        <v>3392</v>
      </c>
      <c r="W28" s="302">
        <f t="shared" si="31"/>
        <v>3392</v>
      </c>
      <c r="X28" s="302">
        <f t="shared" si="31"/>
        <v>3392</v>
      </c>
      <c r="Y28" s="302">
        <f t="shared" si="31"/>
        <v>3392</v>
      </c>
      <c r="Z28" s="302">
        <f t="shared" si="31"/>
        <v>3392</v>
      </c>
      <c r="AA28" s="572"/>
      <c r="AB28" s="572"/>
    </row>
    <row r="29" spans="1:28">
      <c r="A29" s="294" t="s">
        <v>451</v>
      </c>
      <c r="B29" s="307">
        <v>2000</v>
      </c>
      <c r="C29" s="302">
        <f>C4*$B$29</f>
        <v>0</v>
      </c>
      <c r="D29" s="302">
        <f t="shared" ref="D29:N29" si="32">D4*$B$29</f>
        <v>0</v>
      </c>
      <c r="E29" s="302">
        <f t="shared" si="32"/>
        <v>0</v>
      </c>
      <c r="F29" s="302">
        <f t="shared" si="32"/>
        <v>0</v>
      </c>
      <c r="G29" s="302">
        <f t="shared" si="32"/>
        <v>0</v>
      </c>
      <c r="H29" s="302">
        <f t="shared" si="32"/>
        <v>0</v>
      </c>
      <c r="I29" s="302">
        <f t="shared" si="32"/>
        <v>2000</v>
      </c>
      <c r="J29" s="302">
        <f t="shared" si="32"/>
        <v>2000</v>
      </c>
      <c r="K29" s="302">
        <f t="shared" si="32"/>
        <v>2000</v>
      </c>
      <c r="L29" s="302">
        <f t="shared" si="32"/>
        <v>2000</v>
      </c>
      <c r="M29" s="302">
        <f t="shared" si="32"/>
        <v>2000</v>
      </c>
      <c r="N29" s="302">
        <f t="shared" si="32"/>
        <v>2000</v>
      </c>
      <c r="O29" s="302">
        <f>IF(O4+O5=0,0,$B$29*(O4+O5))</f>
        <v>2000</v>
      </c>
      <c r="P29" s="302">
        <f t="shared" ref="P29:Z29" si="33">IF(P4+P5=0,0,$B$29*(P4+P5))</f>
        <v>2000</v>
      </c>
      <c r="Q29" s="302">
        <f t="shared" si="33"/>
        <v>2000</v>
      </c>
      <c r="R29" s="302">
        <f t="shared" si="33"/>
        <v>2000</v>
      </c>
      <c r="S29" s="302">
        <f t="shared" si="33"/>
        <v>2000</v>
      </c>
      <c r="T29" s="302">
        <f t="shared" si="33"/>
        <v>4000</v>
      </c>
      <c r="U29" s="302">
        <f t="shared" si="33"/>
        <v>2000</v>
      </c>
      <c r="V29" s="302">
        <f t="shared" si="33"/>
        <v>4000</v>
      </c>
      <c r="W29" s="302">
        <f t="shared" si="33"/>
        <v>2000</v>
      </c>
      <c r="X29" s="302">
        <f t="shared" si="33"/>
        <v>4000</v>
      </c>
      <c r="Y29" s="302">
        <f t="shared" si="33"/>
        <v>2000</v>
      </c>
      <c r="Z29" s="302">
        <f t="shared" si="33"/>
        <v>4000</v>
      </c>
      <c r="AA29" s="572"/>
      <c r="AB29" s="572"/>
    </row>
    <row r="30" spans="1:28">
      <c r="A30" s="298" t="s">
        <v>282</v>
      </c>
      <c r="B30" s="306"/>
      <c r="C30" s="186">
        <f>C7-SUM(C9:C29)</f>
        <v>-17413.440000000002</v>
      </c>
      <c r="D30" s="186">
        <f t="shared" ref="D30:Z30" si="34">D7-SUM(D9:D29)</f>
        <v>-24013.439999999999</v>
      </c>
      <c r="E30" s="186">
        <f t="shared" si="34"/>
        <v>-24013.439999999999</v>
      </c>
      <c r="F30" s="186">
        <f>F7-SUM(F9:F29)</f>
        <v>-15351.439999999999</v>
      </c>
      <c r="G30" s="186">
        <f t="shared" si="34"/>
        <v>-25967.760000000002</v>
      </c>
      <c r="H30" s="186">
        <f t="shared" si="34"/>
        <v>18322.239999999998</v>
      </c>
      <c r="I30" s="186">
        <f t="shared" si="34"/>
        <v>14343.440000000002</v>
      </c>
      <c r="J30" s="186">
        <f t="shared" si="34"/>
        <v>47177.119999999995</v>
      </c>
      <c r="K30" s="186">
        <f t="shared" si="34"/>
        <v>47177.119999999995</v>
      </c>
      <c r="L30" s="186">
        <f t="shared" si="34"/>
        <v>47177.119999999995</v>
      </c>
      <c r="M30" s="186">
        <f t="shared" si="34"/>
        <v>47177.119999999995</v>
      </c>
      <c r="N30" s="186">
        <f>N7-SUM(N9:N29)</f>
        <v>47177.119999999995</v>
      </c>
      <c r="O30" s="186">
        <f t="shared" ref="O30:Z30" si="35">O7-SUM(O9:O29)</f>
        <v>38206.559999999998</v>
      </c>
      <c r="P30" s="186">
        <f t="shared" si="35"/>
        <v>27797.359999999986</v>
      </c>
      <c r="Q30" s="186">
        <f t="shared" si="35"/>
        <v>40399.359999999986</v>
      </c>
      <c r="R30" s="186">
        <f t="shared" si="35"/>
        <v>16479.359999999986</v>
      </c>
      <c r="S30" s="186">
        <f t="shared" si="35"/>
        <v>26873.759999999995</v>
      </c>
      <c r="T30" s="186">
        <f t="shared" si="35"/>
        <v>48137.599999999991</v>
      </c>
      <c r="U30" s="186">
        <f t="shared" si="35"/>
        <v>4681.5999999999913</v>
      </c>
      <c r="V30" s="186">
        <f t="shared" si="35"/>
        <v>71188.48000000001</v>
      </c>
      <c r="W30" s="186">
        <f t="shared" si="35"/>
        <v>4681.5999999999913</v>
      </c>
      <c r="X30" s="186">
        <f t="shared" si="35"/>
        <v>71188.48000000001</v>
      </c>
      <c r="Y30" s="186">
        <f t="shared" si="35"/>
        <v>4681.5999999999913</v>
      </c>
      <c r="Z30" s="186">
        <f t="shared" si="35"/>
        <v>71188.48000000001</v>
      </c>
      <c r="AA30" s="186">
        <f t="shared" ref="AA30" si="36">AA7-SUM(AA9:AA29)</f>
        <v>62615.68</v>
      </c>
      <c r="AB30" s="186">
        <f t="shared" ref="AB30" si="37">AB7-SUM(AB9:AB29)</f>
        <v>215280</v>
      </c>
    </row>
    <row r="31" spans="1:28">
      <c r="A31" s="298" t="s">
        <v>364</v>
      </c>
      <c r="B31" s="163"/>
      <c r="C31" s="186">
        <f>TVA!C22</f>
        <v>0</v>
      </c>
      <c r="D31" s="186">
        <f>TVA!D22</f>
        <v>0</v>
      </c>
      <c r="E31" s="186">
        <f>TVA!E22</f>
        <v>0</v>
      </c>
      <c r="F31" s="186">
        <f>TVA!F22</f>
        <v>0</v>
      </c>
      <c r="G31" s="186">
        <f>TVA!G22</f>
        <v>0</v>
      </c>
      <c r="H31" s="186">
        <f>TVA!H22</f>
        <v>0</v>
      </c>
      <c r="I31" s="186">
        <f>TVA!I22</f>
        <v>0</v>
      </c>
      <c r="J31" s="186">
        <f>TVA!J22</f>
        <v>3124.239999999998</v>
      </c>
      <c r="K31" s="186">
        <f>TVA!K22</f>
        <v>14351.119999999999</v>
      </c>
      <c r="L31" s="186">
        <f>TVA!L22</f>
        <v>14351.119999999999</v>
      </c>
      <c r="M31" s="186">
        <f>TVA!M22</f>
        <v>14351.119999999999</v>
      </c>
      <c r="N31" s="186">
        <f>TVA!N22</f>
        <v>14351.119999999999</v>
      </c>
      <c r="O31" s="186">
        <f>TVA!O22</f>
        <v>14351.119999999999</v>
      </c>
      <c r="P31" s="186">
        <f>TVA!P22</f>
        <v>8998.3599999999988</v>
      </c>
      <c r="Q31" s="186">
        <f>TVA!Q22</f>
        <v>13555.36</v>
      </c>
      <c r="R31" s="186">
        <f>TVA!R22</f>
        <v>15907.36</v>
      </c>
      <c r="S31" s="186">
        <f>TVA!S22</f>
        <v>11987.36</v>
      </c>
      <c r="T31" s="186">
        <f>TVA!T22</f>
        <v>14221.76</v>
      </c>
      <c r="U31" s="186">
        <f>TVA!U22</f>
        <v>19129.599999999999</v>
      </c>
      <c r="V31" s="186">
        <f>TVA!V22</f>
        <v>4484.4799999999996</v>
      </c>
      <c r="W31" s="186">
        <f>TVA!W22</f>
        <v>30889.599999999999</v>
      </c>
      <c r="X31" s="186">
        <f>TVA!X22</f>
        <v>4484.4799999999996</v>
      </c>
      <c r="Y31" s="186">
        <f>TVA!Y22</f>
        <v>30889.599999999999</v>
      </c>
      <c r="Z31" s="186">
        <f>TVA!Z22</f>
        <v>4484.4799999999996</v>
      </c>
      <c r="AA31" s="186">
        <f>TVA!AA22</f>
        <v>0</v>
      </c>
      <c r="AB31" s="186">
        <f>TVA!AB22</f>
        <v>0</v>
      </c>
    </row>
    <row r="32" spans="1:28">
      <c r="A32" s="298" t="s">
        <v>457</v>
      </c>
      <c r="B32" s="163"/>
      <c r="C32" s="186"/>
      <c r="D32" s="186"/>
      <c r="E32" s="186"/>
      <c r="F32" s="186"/>
      <c r="G32" s="186"/>
      <c r="H32" s="186"/>
      <c r="I32" s="186"/>
      <c r="J32" s="186"/>
      <c r="K32" s="186"/>
      <c r="L32" s="186"/>
      <c r="M32" s="186"/>
      <c r="N32" s="186"/>
      <c r="O32" s="186"/>
      <c r="P32" s="186"/>
      <c r="Q32" s="186"/>
      <c r="R32" s="186"/>
      <c r="S32" s="186"/>
      <c r="T32" s="186"/>
      <c r="U32" s="186"/>
      <c r="V32" s="186"/>
      <c r="W32" s="186"/>
      <c r="X32" s="186"/>
      <c r="Y32" s="186"/>
      <c r="Z32" s="186"/>
      <c r="AA32" s="186"/>
      <c r="AB32" s="186"/>
    </row>
    <row r="33" spans="1:28">
      <c r="A33" s="298" t="s">
        <v>476</v>
      </c>
      <c r="B33" s="163"/>
      <c r="C33" s="186"/>
      <c r="D33" s="186"/>
      <c r="E33" s="186"/>
      <c r="F33" s="186"/>
      <c r="G33" s="186"/>
      <c r="H33" s="186"/>
      <c r="I33" s="186"/>
      <c r="J33" s="186"/>
      <c r="K33" s="186"/>
      <c r="L33" s="186"/>
      <c r="M33" s="186"/>
      <c r="N33" s="186"/>
      <c r="O33" s="186"/>
      <c r="P33" s="186"/>
      <c r="Q33" s="186"/>
      <c r="R33" s="186"/>
      <c r="S33" s="186"/>
      <c r="T33" s="186"/>
      <c r="U33" s="186"/>
      <c r="V33" s="186"/>
      <c r="W33" s="186"/>
      <c r="X33" s="186"/>
      <c r="Y33" s="186"/>
      <c r="Z33" s="186"/>
      <c r="AA33" s="186"/>
      <c r="AB33" s="186"/>
    </row>
    <row r="34" spans="1:28">
      <c r="A34" s="298" t="s">
        <v>275</v>
      </c>
      <c r="B34" s="163"/>
      <c r="C34" s="186">
        <f>C30-SUM(C31:C33)</f>
        <v>-17413.440000000002</v>
      </c>
      <c r="D34" s="186">
        <f t="shared" ref="D34:Z34" si="38">D30-SUM(D31:D33)</f>
        <v>-24013.439999999999</v>
      </c>
      <c r="E34" s="186">
        <f t="shared" si="38"/>
        <v>-24013.439999999999</v>
      </c>
      <c r="F34" s="186">
        <f t="shared" si="38"/>
        <v>-15351.439999999999</v>
      </c>
      <c r="G34" s="186">
        <f t="shared" si="38"/>
        <v>-25967.760000000002</v>
      </c>
      <c r="H34" s="186">
        <f t="shared" si="38"/>
        <v>18322.239999999998</v>
      </c>
      <c r="I34" s="186">
        <f t="shared" si="38"/>
        <v>14343.440000000002</v>
      </c>
      <c r="J34" s="186">
        <f t="shared" si="38"/>
        <v>44052.88</v>
      </c>
      <c r="K34" s="186">
        <f t="shared" si="38"/>
        <v>32826</v>
      </c>
      <c r="L34" s="186">
        <f t="shared" si="38"/>
        <v>32826</v>
      </c>
      <c r="M34" s="186">
        <f t="shared" si="38"/>
        <v>32826</v>
      </c>
      <c r="N34" s="186">
        <f>N30-SUM(N31:N33)</f>
        <v>32826</v>
      </c>
      <c r="O34" s="186">
        <f t="shared" ref="O34:Z34" si="39">O30-SUM(O31:O33)</f>
        <v>23855.439999999999</v>
      </c>
      <c r="P34" s="186">
        <f t="shared" si="39"/>
        <v>18798.999999999985</v>
      </c>
      <c r="Q34" s="186">
        <f t="shared" si="39"/>
        <v>26843.999999999985</v>
      </c>
      <c r="R34" s="186">
        <f t="shared" si="39"/>
        <v>571.99999999998545</v>
      </c>
      <c r="S34" s="186">
        <f t="shared" si="39"/>
        <v>14886.399999999994</v>
      </c>
      <c r="T34" s="186">
        <f t="shared" si="39"/>
        <v>33915.839999999989</v>
      </c>
      <c r="U34" s="186">
        <f t="shared" si="39"/>
        <v>-14448.000000000007</v>
      </c>
      <c r="V34" s="186">
        <f t="shared" si="39"/>
        <v>66704.000000000015</v>
      </c>
      <c r="W34" s="186">
        <f t="shared" si="39"/>
        <v>-26208.000000000007</v>
      </c>
      <c r="X34" s="186">
        <f t="shared" si="39"/>
        <v>66704.000000000015</v>
      </c>
      <c r="Y34" s="186">
        <f t="shared" si="39"/>
        <v>-26208.000000000007</v>
      </c>
      <c r="Z34" s="186">
        <f t="shared" si="39"/>
        <v>66704.000000000015</v>
      </c>
      <c r="AA34" s="186"/>
      <c r="AB34" s="186"/>
    </row>
    <row r="35" spans="1:28">
      <c r="A35" s="298"/>
      <c r="B35" s="163"/>
      <c r="C35" s="186"/>
      <c r="D35" s="186"/>
      <c r="E35" s="186"/>
      <c r="F35" s="186"/>
      <c r="G35" s="186"/>
      <c r="H35" s="186"/>
      <c r="I35" s="186"/>
      <c r="J35" s="186"/>
      <c r="K35" s="186"/>
      <c r="L35" s="186"/>
      <c r="M35" s="186"/>
      <c r="N35" s="186"/>
      <c r="O35" s="294"/>
      <c r="P35" s="572"/>
      <c r="Q35" s="572"/>
      <c r="R35" s="572"/>
      <c r="S35" s="573"/>
      <c r="T35" s="572"/>
      <c r="U35" s="572"/>
      <c r="V35" s="572"/>
      <c r="W35" s="572"/>
      <c r="X35" s="572"/>
      <c r="Y35" s="572"/>
      <c r="Z35" s="572"/>
      <c r="AA35" s="572"/>
      <c r="AB35" s="572"/>
    </row>
    <row r="36" spans="1:28">
      <c r="A36" s="298" t="s">
        <v>213</v>
      </c>
      <c r="B36" s="295"/>
      <c r="C36" s="302"/>
      <c r="D36" s="302"/>
      <c r="E36" s="302"/>
      <c r="F36" s="302"/>
      <c r="G36" s="302"/>
      <c r="H36" s="302"/>
      <c r="I36" s="302"/>
      <c r="J36" s="302"/>
      <c r="K36" s="302"/>
      <c r="L36" s="302"/>
      <c r="M36" s="302"/>
      <c r="N36" s="302"/>
      <c r="O36" s="294"/>
      <c r="P36" s="572"/>
      <c r="Q36" s="572"/>
      <c r="R36" s="572"/>
      <c r="S36" s="572"/>
      <c r="T36" s="572"/>
      <c r="U36" s="572"/>
      <c r="V36" s="572"/>
      <c r="W36" s="572"/>
      <c r="X36" s="572"/>
      <c r="Y36" s="572"/>
      <c r="Z36" s="572"/>
      <c r="AA36" s="572"/>
      <c r="AB36" s="572"/>
    </row>
    <row r="37" spans="1:28">
      <c r="A37" s="294" t="s">
        <v>207</v>
      </c>
      <c r="B37" s="307">
        <f>'Tableau simu'!B55</f>
        <v>50000</v>
      </c>
      <c r="C37" s="302">
        <f>B37</f>
        <v>50000</v>
      </c>
      <c r="D37" s="302"/>
      <c r="E37" s="302"/>
      <c r="F37" s="302"/>
      <c r="G37" s="302"/>
      <c r="H37" s="302"/>
      <c r="I37" s="302"/>
      <c r="J37" s="302"/>
      <c r="K37" s="302"/>
      <c r="L37" s="302"/>
      <c r="M37" s="302"/>
      <c r="N37" s="302"/>
      <c r="O37" s="302"/>
      <c r="P37" s="572"/>
      <c r="Q37" s="572"/>
      <c r="R37" s="572"/>
      <c r="S37" s="573"/>
      <c r="T37" s="572"/>
      <c r="U37" s="572"/>
      <c r="V37" s="572"/>
      <c r="W37" s="572"/>
      <c r="X37" s="572"/>
      <c r="Y37" s="572"/>
      <c r="Z37" s="572"/>
      <c r="AA37" s="572"/>
      <c r="AB37" s="572"/>
    </row>
    <row r="38" spans="1:28">
      <c r="A38" s="294" t="s">
        <v>211</v>
      </c>
      <c r="B38" s="308">
        <f>'Tableau simu'!B28</f>
        <v>65000</v>
      </c>
      <c r="C38" s="302">
        <f>B38</f>
        <v>65000</v>
      </c>
      <c r="D38" s="302"/>
      <c r="E38" s="302"/>
      <c r="F38" s="302"/>
      <c r="G38" s="302"/>
      <c r="H38" s="302"/>
      <c r="I38" s="302"/>
      <c r="J38" s="302"/>
      <c r="K38" s="302"/>
      <c r="L38" s="302"/>
      <c r="M38" s="302"/>
      <c r="N38" s="302"/>
      <c r="O38" s="302"/>
      <c r="P38" s="572"/>
      <c r="Q38" s="572"/>
      <c r="R38" s="572"/>
      <c r="S38" s="572"/>
      <c r="T38" s="572"/>
      <c r="U38" s="572"/>
      <c r="V38" s="572"/>
      <c r="W38" s="572"/>
      <c r="X38" s="572"/>
      <c r="Y38" s="572"/>
      <c r="Z38" s="572"/>
      <c r="AA38" s="572"/>
      <c r="AB38" s="572"/>
    </row>
    <row r="39" spans="1:28">
      <c r="A39" s="294" t="s">
        <v>215</v>
      </c>
      <c r="B39" s="308"/>
      <c r="C39" s="302"/>
      <c r="D39" s="302"/>
      <c r="E39" s="302"/>
      <c r="F39" s="302"/>
      <c r="G39" s="302"/>
      <c r="H39" s="302"/>
      <c r="I39" s="302"/>
      <c r="J39" s="302"/>
      <c r="K39" s="302"/>
      <c r="L39" s="302"/>
      <c r="M39" s="302"/>
      <c r="N39" s="302"/>
      <c r="O39" s="294"/>
      <c r="P39" s="572"/>
      <c r="Q39" s="572"/>
      <c r="R39" s="572"/>
      <c r="S39" s="573"/>
      <c r="T39" s="572"/>
      <c r="U39" s="572"/>
      <c r="V39" s="572"/>
      <c r="W39" s="572"/>
      <c r="X39" s="572"/>
      <c r="Y39" s="572"/>
      <c r="Z39" s="572"/>
      <c r="AA39" s="572"/>
      <c r="AB39" s="572"/>
    </row>
    <row r="40" spans="1:28">
      <c r="A40" s="298" t="s">
        <v>209</v>
      </c>
      <c r="B40" s="295"/>
      <c r="C40" s="302">
        <f>SUM(C37:C38)</f>
        <v>115000</v>
      </c>
      <c r="D40" s="302">
        <f t="shared" ref="D40:Z40" si="40">SUM(D37:D38)</f>
        <v>0</v>
      </c>
      <c r="E40" s="302">
        <f t="shared" si="40"/>
        <v>0</v>
      </c>
      <c r="F40" s="302">
        <f t="shared" si="40"/>
        <v>0</v>
      </c>
      <c r="G40" s="302">
        <f t="shared" si="40"/>
        <v>0</v>
      </c>
      <c r="H40" s="302">
        <f t="shared" si="40"/>
        <v>0</v>
      </c>
      <c r="I40" s="302">
        <f t="shared" si="40"/>
        <v>0</v>
      </c>
      <c r="J40" s="302">
        <f t="shared" si="40"/>
        <v>0</v>
      </c>
      <c r="K40" s="302">
        <f t="shared" si="40"/>
        <v>0</v>
      </c>
      <c r="L40" s="302">
        <f t="shared" si="40"/>
        <v>0</v>
      </c>
      <c r="M40" s="302">
        <f t="shared" si="40"/>
        <v>0</v>
      </c>
      <c r="N40" s="302">
        <f t="shared" si="40"/>
        <v>0</v>
      </c>
      <c r="O40" s="302">
        <f t="shared" si="40"/>
        <v>0</v>
      </c>
      <c r="P40" s="302">
        <f t="shared" si="40"/>
        <v>0</v>
      </c>
      <c r="Q40" s="302">
        <f t="shared" si="40"/>
        <v>0</v>
      </c>
      <c r="R40" s="302">
        <f t="shared" si="40"/>
        <v>0</v>
      </c>
      <c r="S40" s="302">
        <f t="shared" si="40"/>
        <v>0</v>
      </c>
      <c r="T40" s="302">
        <f t="shared" si="40"/>
        <v>0</v>
      </c>
      <c r="U40" s="302">
        <f t="shared" si="40"/>
        <v>0</v>
      </c>
      <c r="V40" s="302">
        <f t="shared" si="40"/>
        <v>0</v>
      </c>
      <c r="W40" s="302">
        <f t="shared" si="40"/>
        <v>0</v>
      </c>
      <c r="X40" s="302">
        <f t="shared" si="40"/>
        <v>0</v>
      </c>
      <c r="Y40" s="302">
        <f t="shared" si="40"/>
        <v>0</v>
      </c>
      <c r="Z40" s="302">
        <f t="shared" si="40"/>
        <v>0</v>
      </c>
      <c r="AA40" s="572"/>
      <c r="AB40" s="572"/>
    </row>
    <row r="41" spans="1:28">
      <c r="A41" s="298" t="s">
        <v>214</v>
      </c>
      <c r="B41" s="295"/>
      <c r="C41" s="302"/>
      <c r="D41" s="302"/>
      <c r="E41" s="302"/>
      <c r="F41" s="302"/>
      <c r="G41" s="302"/>
      <c r="H41" s="302"/>
      <c r="I41" s="302"/>
      <c r="J41" s="302"/>
      <c r="K41" s="302"/>
      <c r="L41" s="302"/>
      <c r="M41" s="302"/>
      <c r="N41" s="302"/>
      <c r="O41" s="294"/>
      <c r="P41" s="572"/>
      <c r="Q41" s="572"/>
      <c r="R41" s="572"/>
      <c r="S41" s="572"/>
      <c r="T41" s="572"/>
      <c r="U41" s="572"/>
      <c r="V41" s="572"/>
      <c r="W41" s="572"/>
      <c r="X41" s="572"/>
      <c r="Y41" s="572"/>
      <c r="Z41" s="572"/>
      <c r="AA41" s="572"/>
      <c r="AB41" s="572"/>
    </row>
    <row r="42" spans="1:28">
      <c r="A42" s="294" t="s">
        <v>208</v>
      </c>
      <c r="B42" s="295"/>
      <c r="C42" s="302">
        <f>Immo!C27*1.196</f>
        <v>68291.599999999991</v>
      </c>
      <c r="D42" s="302"/>
      <c r="E42" s="302"/>
      <c r="F42" s="302"/>
      <c r="G42" s="302"/>
      <c r="H42" s="302"/>
      <c r="I42" s="302"/>
      <c r="J42" s="302"/>
      <c r="K42" s="302"/>
      <c r="L42" s="302"/>
      <c r="M42" s="302"/>
      <c r="N42" s="302"/>
      <c r="O42" s="294"/>
      <c r="P42" s="572"/>
      <c r="Q42" s="572"/>
      <c r="R42" s="572"/>
      <c r="S42" s="572"/>
      <c r="T42" s="572"/>
      <c r="U42" s="572"/>
      <c r="V42" s="572"/>
      <c r="W42" s="572"/>
      <c r="X42" s="572"/>
      <c r="Y42" s="572"/>
      <c r="Z42" s="572"/>
      <c r="AA42" s="572"/>
      <c r="AB42" s="572"/>
    </row>
    <row r="43" spans="1:28">
      <c r="A43" s="294" t="s">
        <v>219</v>
      </c>
      <c r="B43" s="295"/>
      <c r="C43" s="302"/>
      <c r="D43" s="302"/>
      <c r="E43" s="302"/>
      <c r="F43" s="302"/>
      <c r="G43" s="302"/>
      <c r="H43" s="302"/>
      <c r="I43" s="302"/>
      <c r="J43" s="302"/>
      <c r="K43" s="302"/>
      <c r="L43" s="302"/>
      <c r="M43" s="302"/>
      <c r="N43" s="302"/>
      <c r="O43" s="294"/>
      <c r="P43" s="572"/>
      <c r="Q43" s="572"/>
      <c r="R43" s="572"/>
      <c r="S43" s="572"/>
      <c r="T43" s="572"/>
      <c r="U43" s="572"/>
      <c r="V43" s="572"/>
      <c r="W43" s="572"/>
      <c r="X43" s="572"/>
      <c r="Y43" s="572"/>
      <c r="Z43" s="572"/>
      <c r="AA43" s="572"/>
      <c r="AB43" s="572"/>
    </row>
    <row r="44" spans="1:28">
      <c r="A44" s="305" t="s">
        <v>221</v>
      </c>
      <c r="B44" s="295"/>
      <c r="C44" s="302">
        <f>Immo!C31</f>
        <v>6000</v>
      </c>
      <c r="D44" s="302"/>
      <c r="E44" s="302"/>
      <c r="F44" s="302"/>
      <c r="G44" s="302"/>
      <c r="H44" s="302"/>
      <c r="I44" s="302"/>
      <c r="J44" s="302"/>
      <c r="K44" s="302"/>
      <c r="L44" s="302"/>
      <c r="M44" s="302"/>
      <c r="N44" s="302"/>
      <c r="O44" s="294"/>
      <c r="P44" s="572"/>
      <c r="Q44" s="572"/>
      <c r="R44" s="572"/>
      <c r="S44" s="572"/>
      <c r="T44" s="572"/>
      <c r="U44" s="572"/>
      <c r="V44" s="572"/>
      <c r="W44" s="572"/>
      <c r="X44" s="572"/>
      <c r="Y44" s="572"/>
      <c r="Z44" s="572"/>
      <c r="AA44" s="572"/>
      <c r="AB44" s="572"/>
    </row>
    <row r="45" spans="1:28">
      <c r="A45" s="305" t="s">
        <v>220</v>
      </c>
      <c r="B45" s="295"/>
      <c r="C45" s="302">
        <f>Immo!C32</f>
        <v>18000</v>
      </c>
      <c r="D45" s="302"/>
      <c r="E45" s="302"/>
      <c r="F45" s="302"/>
      <c r="G45" s="302"/>
      <c r="H45" s="302"/>
      <c r="I45" s="302"/>
      <c r="J45" s="302"/>
      <c r="K45" s="302"/>
      <c r="L45" s="302"/>
      <c r="M45" s="302"/>
      <c r="N45" s="302"/>
      <c r="O45" s="294"/>
      <c r="P45" s="572"/>
      <c r="Q45" s="572"/>
      <c r="R45" s="572"/>
      <c r="S45" s="572"/>
      <c r="T45" s="572"/>
      <c r="U45" s="572"/>
      <c r="V45" s="572"/>
      <c r="W45" s="572"/>
      <c r="X45" s="572"/>
      <c r="Y45" s="572"/>
      <c r="Z45" s="572"/>
      <c r="AA45" s="572"/>
      <c r="AB45" s="572"/>
    </row>
    <row r="46" spans="1:28">
      <c r="A46" s="294" t="s">
        <v>280</v>
      </c>
      <c r="B46" s="306">
        <f>'Tableau simu'!B30</f>
        <v>7.0000000000000007E-2</v>
      </c>
      <c r="C46" s="302">
        <f>-PPMT($B$46/12,C2,'Tableau simu'!$B$29,$B$38)</f>
        <v>1627.844629582504</v>
      </c>
      <c r="D46" s="302">
        <f>-PPMT($B$46/12,D2,'Tableau simu'!$B$29,$B$38)</f>
        <v>1637.3403899217353</v>
      </c>
      <c r="E46" s="302">
        <f>-PPMT($B$46/12,E2,'Tableau simu'!$B$29,$B$38)</f>
        <v>1646.8915421962788</v>
      </c>
      <c r="F46" s="302">
        <f>-PPMT($B$46/12,F2,'Tableau simu'!$B$29,$B$38)</f>
        <v>1656.4984095257573</v>
      </c>
      <c r="G46" s="302">
        <f>-PPMT($B$46/12,G2,'Tableau simu'!$B$29,$B$38)</f>
        <v>1666.1613169146576</v>
      </c>
      <c r="H46" s="302">
        <f>-PPMT($B$46/12,H2,'Tableau simu'!$B$29,$B$38)</f>
        <v>1675.8805912633263</v>
      </c>
      <c r="I46" s="302">
        <f>-PPMT($B$46/12,I2,'Tableau simu'!$B$29,$B$38)</f>
        <v>1685.6565613790292</v>
      </c>
      <c r="J46" s="302">
        <f>-PPMT($B$46/12,J2,'Tableau simu'!$B$29,$B$38)</f>
        <v>1695.4895579870733</v>
      </c>
      <c r="K46" s="302">
        <f>-PPMT($B$46/12,K2,'Tableau simu'!$B$29,$B$38)</f>
        <v>1705.3799137419983</v>
      </c>
      <c r="L46" s="302">
        <f>-PPMT($B$46/12,L2,'Tableau simu'!$B$29,$B$38)</f>
        <v>1715.3279632388267</v>
      </c>
      <c r="M46" s="302">
        <f>-PPMT($B$46/12,M2,'Tableau simu'!$B$29,$B$38)</f>
        <v>1725.3340430243863</v>
      </c>
      <c r="N46" s="302">
        <f>-PPMT($B$46/12,N2,'Tableau simu'!$B$29,$B$38)</f>
        <v>1735.3984916086954</v>
      </c>
      <c r="O46" s="302">
        <f>-PPMT($B$46/12,O2,'Tableau simu'!$B$29,$B$38)</f>
        <v>1745.5216494764127</v>
      </c>
      <c r="P46" s="302">
        <f>-PPMT($B$46/12,P2,'Tableau simu'!$B$29,$B$38)</f>
        <v>1755.7038590983586</v>
      </c>
      <c r="Q46" s="302">
        <f>-PPMT($B$46/12,Q2,'Tableau simu'!$B$29,$B$38)</f>
        <v>1765.9454649430993</v>
      </c>
      <c r="R46" s="302">
        <f>-PPMT($B$46/12,R2,'Tableau simu'!$B$29,$B$38)</f>
        <v>1776.2468134886003</v>
      </c>
      <c r="S46" s="302">
        <f>-PPMT($B$46/12,S2,'Tableau simu'!$B$29,$B$38)</f>
        <v>1786.6082532339506</v>
      </c>
      <c r="T46" s="302">
        <f>-PPMT($B$46/12,T2,'Tableau simu'!$B$29,$B$38)</f>
        <v>1797.0301347111488</v>
      </c>
      <c r="U46" s="302">
        <f>-PPMT($B$46/12,U2,'Tableau simu'!$B$29,$B$38)</f>
        <v>1807.5128104969638</v>
      </c>
      <c r="V46" s="302">
        <f>-PPMT($B$46/12,V2,'Tableau simu'!$B$29,$B$38)</f>
        <v>1818.0566352248629</v>
      </c>
      <c r="W46" s="302">
        <f>-PPMT($B$46/12,W2,'Tableau simu'!$B$29,$B$38)</f>
        <v>1828.6619655970078</v>
      </c>
      <c r="X46" s="302">
        <f>-PPMT($B$46/12,X2,'Tableau simu'!$B$29,$B$38)</f>
        <v>1839.3291603963239</v>
      </c>
      <c r="Y46" s="302">
        <f>-PPMT($B$46/12,Y2,'Tableau simu'!$B$29,$B$38)</f>
        <v>1850.0585804986358</v>
      </c>
      <c r="Z46" s="302">
        <f>-PPMT($B$46/12,Z2,'Tableau simu'!$B$29,$B$38)</f>
        <v>1860.8505888848777</v>
      </c>
      <c r="AA46" s="302"/>
      <c r="AB46" s="302"/>
    </row>
    <row r="47" spans="1:28">
      <c r="A47" s="294" t="s">
        <v>216</v>
      </c>
      <c r="B47" s="308"/>
      <c r="C47" s="302"/>
      <c r="D47" s="302"/>
      <c r="E47" s="302"/>
      <c r="F47" s="302"/>
      <c r="G47" s="302"/>
      <c r="H47" s="302"/>
      <c r="I47" s="302"/>
      <c r="J47" s="302"/>
      <c r="K47" s="302"/>
      <c r="L47" s="302"/>
      <c r="M47" s="302"/>
      <c r="N47" s="302"/>
      <c r="O47" s="294"/>
      <c r="P47" s="572"/>
      <c r="Q47" s="572"/>
      <c r="R47" s="572"/>
      <c r="S47" s="572"/>
      <c r="T47" s="572"/>
      <c r="U47" s="572"/>
      <c r="V47" s="572"/>
      <c r="W47" s="572"/>
      <c r="X47" s="572"/>
      <c r="Y47" s="572"/>
      <c r="Z47" s="572"/>
      <c r="AA47" s="572"/>
      <c r="AB47" s="572"/>
    </row>
    <row r="48" spans="1:28">
      <c r="A48" s="298" t="s">
        <v>210</v>
      </c>
      <c r="B48" s="295"/>
      <c r="C48" s="302">
        <f>SUM(C42:C47)</f>
        <v>93919.444629582489</v>
      </c>
      <c r="D48" s="302">
        <f t="shared" ref="D48:Z48" si="41">SUM(D42:D47)</f>
        <v>1637.3403899217353</v>
      </c>
      <c r="E48" s="302">
        <f t="shared" si="41"/>
        <v>1646.8915421962788</v>
      </c>
      <c r="F48" s="302">
        <f t="shared" si="41"/>
        <v>1656.4984095257573</v>
      </c>
      <c r="G48" s="302">
        <f t="shared" si="41"/>
        <v>1666.1613169146576</v>
      </c>
      <c r="H48" s="302">
        <f t="shared" si="41"/>
        <v>1675.8805912633263</v>
      </c>
      <c r="I48" s="302">
        <f t="shared" si="41"/>
        <v>1685.6565613790292</v>
      </c>
      <c r="J48" s="302">
        <f t="shared" si="41"/>
        <v>1695.4895579870733</v>
      </c>
      <c r="K48" s="302">
        <f t="shared" si="41"/>
        <v>1705.3799137419983</v>
      </c>
      <c r="L48" s="302">
        <f t="shared" si="41"/>
        <v>1715.3279632388267</v>
      </c>
      <c r="M48" s="302">
        <f t="shared" si="41"/>
        <v>1725.3340430243863</v>
      </c>
      <c r="N48" s="302">
        <f t="shared" si="41"/>
        <v>1735.3984916086954</v>
      </c>
      <c r="O48" s="302">
        <f t="shared" si="41"/>
        <v>1745.5216494764127</v>
      </c>
      <c r="P48" s="302">
        <f t="shared" si="41"/>
        <v>1755.7038590983586</v>
      </c>
      <c r="Q48" s="302">
        <f t="shared" si="41"/>
        <v>1765.9454649430993</v>
      </c>
      <c r="R48" s="302">
        <f t="shared" si="41"/>
        <v>1776.2468134886003</v>
      </c>
      <c r="S48" s="302">
        <f t="shared" si="41"/>
        <v>1786.6082532339506</v>
      </c>
      <c r="T48" s="302">
        <f t="shared" si="41"/>
        <v>1797.0301347111488</v>
      </c>
      <c r="U48" s="302">
        <f t="shared" si="41"/>
        <v>1807.5128104969638</v>
      </c>
      <c r="V48" s="302">
        <f t="shared" si="41"/>
        <v>1818.0566352248629</v>
      </c>
      <c r="W48" s="302">
        <f t="shared" si="41"/>
        <v>1828.6619655970078</v>
      </c>
      <c r="X48" s="302">
        <f t="shared" si="41"/>
        <v>1839.3291603963239</v>
      </c>
      <c r="Y48" s="302">
        <f t="shared" si="41"/>
        <v>1850.0585804986358</v>
      </c>
      <c r="Z48" s="302">
        <f t="shared" si="41"/>
        <v>1860.8505888848777</v>
      </c>
      <c r="AA48" s="302"/>
      <c r="AB48" s="302"/>
    </row>
    <row r="49" spans="1:28" s="1" customFormat="1">
      <c r="A49" s="298" t="s">
        <v>276</v>
      </c>
      <c r="B49" s="163"/>
      <c r="C49" s="186">
        <f>C40-C48</f>
        <v>21080.555370417511</v>
      </c>
      <c r="D49" s="186">
        <f t="shared" ref="D49:Z49" si="42">D40-D48</f>
        <v>-1637.3403899217353</v>
      </c>
      <c r="E49" s="186">
        <f t="shared" si="42"/>
        <v>-1646.8915421962788</v>
      </c>
      <c r="F49" s="186">
        <f t="shared" si="42"/>
        <v>-1656.4984095257573</v>
      </c>
      <c r="G49" s="186">
        <f t="shared" si="42"/>
        <v>-1666.1613169146576</v>
      </c>
      <c r="H49" s="186">
        <f t="shared" si="42"/>
        <v>-1675.8805912633263</v>
      </c>
      <c r="I49" s="186">
        <f t="shared" si="42"/>
        <v>-1685.6565613790292</v>
      </c>
      <c r="J49" s="186">
        <f t="shared" si="42"/>
        <v>-1695.4895579870733</v>
      </c>
      <c r="K49" s="186">
        <f t="shared" si="42"/>
        <v>-1705.3799137419983</v>
      </c>
      <c r="L49" s="186">
        <f t="shared" si="42"/>
        <v>-1715.3279632388267</v>
      </c>
      <c r="M49" s="186">
        <f t="shared" si="42"/>
        <v>-1725.3340430243863</v>
      </c>
      <c r="N49" s="186">
        <f t="shared" si="42"/>
        <v>-1735.3984916086954</v>
      </c>
      <c r="O49" s="186">
        <f t="shared" si="42"/>
        <v>-1745.5216494764127</v>
      </c>
      <c r="P49" s="186">
        <f t="shared" si="42"/>
        <v>-1755.7038590983586</v>
      </c>
      <c r="Q49" s="186">
        <f t="shared" si="42"/>
        <v>-1765.9454649430993</v>
      </c>
      <c r="R49" s="186">
        <f t="shared" si="42"/>
        <v>-1776.2468134886003</v>
      </c>
      <c r="S49" s="186">
        <f t="shared" si="42"/>
        <v>-1786.6082532339506</v>
      </c>
      <c r="T49" s="186">
        <f t="shared" si="42"/>
        <v>-1797.0301347111488</v>
      </c>
      <c r="U49" s="186">
        <f t="shared" si="42"/>
        <v>-1807.5128104969638</v>
      </c>
      <c r="V49" s="186">
        <f t="shared" si="42"/>
        <v>-1818.0566352248629</v>
      </c>
      <c r="W49" s="186">
        <f t="shared" si="42"/>
        <v>-1828.6619655970078</v>
      </c>
      <c r="X49" s="186">
        <f t="shared" si="42"/>
        <v>-1839.3291603963239</v>
      </c>
      <c r="Y49" s="186">
        <f t="shared" si="42"/>
        <v>-1850.0585804986358</v>
      </c>
      <c r="Z49" s="186">
        <f t="shared" si="42"/>
        <v>-1860.8505888848777</v>
      </c>
      <c r="AA49" s="186"/>
      <c r="AB49" s="186"/>
    </row>
    <row r="50" spans="1:28" s="1" customFormat="1">
      <c r="A50" s="298"/>
      <c r="B50" s="163"/>
      <c r="C50" s="186"/>
      <c r="D50" s="186"/>
      <c r="E50" s="186"/>
      <c r="F50" s="186"/>
      <c r="G50" s="186"/>
      <c r="H50" s="186"/>
      <c r="I50" s="186"/>
      <c r="J50" s="186"/>
      <c r="K50" s="186"/>
      <c r="L50" s="186"/>
      <c r="M50" s="186"/>
      <c r="N50" s="186"/>
      <c r="O50" s="298"/>
      <c r="P50" s="219"/>
      <c r="Q50" s="219"/>
      <c r="R50" s="219"/>
      <c r="S50" s="219"/>
      <c r="T50" s="219"/>
      <c r="U50" s="219"/>
      <c r="V50" s="219"/>
      <c r="W50" s="219"/>
      <c r="X50" s="219"/>
      <c r="Y50" s="219"/>
      <c r="Z50" s="219"/>
      <c r="AA50" s="219"/>
      <c r="AB50" s="219"/>
    </row>
    <row r="51" spans="1:28">
      <c r="A51" s="298" t="s">
        <v>277</v>
      </c>
      <c r="B51" s="163"/>
      <c r="C51" s="186">
        <f>C34+C49</f>
        <v>3667.1153704175085</v>
      </c>
      <c r="D51" s="186">
        <f t="shared" ref="D51:Z51" si="43">D34+D49</f>
        <v>-25650.780389921732</v>
      </c>
      <c r="E51" s="186">
        <f t="shared" si="43"/>
        <v>-25660.331542196276</v>
      </c>
      <c r="F51" s="186">
        <f t="shared" si="43"/>
        <v>-17007.938409525756</v>
      </c>
      <c r="G51" s="186">
        <f t="shared" si="43"/>
        <v>-27633.921316914661</v>
      </c>
      <c r="H51" s="186">
        <f t="shared" si="43"/>
        <v>16646.359408736673</v>
      </c>
      <c r="I51" s="186">
        <f t="shared" si="43"/>
        <v>12657.783438620972</v>
      </c>
      <c r="J51" s="186">
        <f t="shared" si="43"/>
        <v>42357.390442012926</v>
      </c>
      <c r="K51" s="186">
        <f t="shared" si="43"/>
        <v>31120.620086258001</v>
      </c>
      <c r="L51" s="186">
        <f t="shared" si="43"/>
        <v>31110.672036761174</v>
      </c>
      <c r="M51" s="186">
        <f t="shared" si="43"/>
        <v>31100.665956975612</v>
      </c>
      <c r="N51" s="186">
        <f t="shared" si="43"/>
        <v>31090.601508391304</v>
      </c>
      <c r="O51" s="186">
        <f t="shared" si="43"/>
        <v>22109.918350523585</v>
      </c>
      <c r="P51" s="186">
        <f t="shared" si="43"/>
        <v>17043.296140901628</v>
      </c>
      <c r="Q51" s="186">
        <f t="shared" si="43"/>
        <v>25078.054535056886</v>
      </c>
      <c r="R51" s="186">
        <f t="shared" si="43"/>
        <v>-1204.2468134886149</v>
      </c>
      <c r="S51" s="186">
        <f t="shared" si="43"/>
        <v>13099.791746766045</v>
      </c>
      <c r="T51" s="186">
        <f t="shared" si="43"/>
        <v>32118.80986528884</v>
      </c>
      <c r="U51" s="186">
        <f t="shared" si="43"/>
        <v>-16255.512810496972</v>
      </c>
      <c r="V51" s="186">
        <f t="shared" si="43"/>
        <v>64885.94336477515</v>
      </c>
      <c r="W51" s="186">
        <f t="shared" si="43"/>
        <v>-28036.661965597013</v>
      </c>
      <c r="X51" s="186">
        <f t="shared" si="43"/>
        <v>64864.670839603692</v>
      </c>
      <c r="Y51" s="186">
        <f t="shared" si="43"/>
        <v>-28058.058580498644</v>
      </c>
      <c r="Z51" s="186">
        <f t="shared" si="43"/>
        <v>64843.149411115141</v>
      </c>
      <c r="AA51" s="186"/>
      <c r="AB51" s="186"/>
    </row>
    <row r="52" spans="1:28">
      <c r="A52" s="294"/>
      <c r="B52" s="295"/>
      <c r="C52" s="302"/>
      <c r="D52" s="302"/>
      <c r="E52" s="302"/>
      <c r="F52" s="302"/>
      <c r="G52" s="302"/>
      <c r="H52" s="302"/>
      <c r="I52" s="302"/>
      <c r="J52" s="302"/>
      <c r="K52" s="302"/>
      <c r="L52" s="302"/>
      <c r="M52" s="302"/>
      <c r="N52" s="302"/>
      <c r="O52" s="294"/>
      <c r="P52" s="572"/>
      <c r="Q52" s="572"/>
      <c r="R52" s="572"/>
      <c r="S52" s="572"/>
      <c r="T52" s="572"/>
      <c r="U52" s="572"/>
      <c r="V52" s="572"/>
      <c r="W52" s="572"/>
      <c r="X52" s="572"/>
      <c r="Y52" s="572"/>
      <c r="Z52" s="572"/>
      <c r="AA52" s="572"/>
      <c r="AB52" s="572"/>
    </row>
    <row r="53" spans="1:28">
      <c r="A53" s="298" t="s">
        <v>212</v>
      </c>
      <c r="B53" s="295"/>
      <c r="C53" s="302"/>
      <c r="D53" s="302"/>
      <c r="E53" s="302"/>
      <c r="F53" s="302"/>
      <c r="G53" s="302"/>
      <c r="H53" s="302"/>
      <c r="I53" s="302"/>
      <c r="J53" s="302"/>
      <c r="K53" s="302"/>
      <c r="L53" s="302"/>
      <c r="M53" s="302"/>
      <c r="N53" s="302"/>
      <c r="O53" s="294"/>
      <c r="P53" s="572"/>
      <c r="Q53" s="572"/>
      <c r="R53" s="572"/>
      <c r="S53" s="572"/>
      <c r="T53" s="572"/>
      <c r="U53" s="572"/>
      <c r="V53" s="572"/>
      <c r="W53" s="572"/>
      <c r="X53" s="572"/>
      <c r="Y53" s="572"/>
      <c r="Z53" s="572"/>
      <c r="AA53" s="572"/>
      <c r="AB53" s="572"/>
    </row>
    <row r="54" spans="1:28">
      <c r="A54" s="294" t="s">
        <v>217</v>
      </c>
      <c r="B54" s="306">
        <v>0.08</v>
      </c>
      <c r="C54" s="302"/>
      <c r="D54" s="302"/>
      <c r="E54" s="302"/>
      <c r="F54" s="302"/>
      <c r="G54" s="302"/>
      <c r="H54" s="302"/>
      <c r="I54" s="302"/>
      <c r="J54" s="302"/>
      <c r="K54" s="302"/>
      <c r="L54" s="302"/>
      <c r="M54" s="302"/>
      <c r="N54" s="302"/>
      <c r="O54" s="294"/>
      <c r="P54" s="572"/>
      <c r="Q54" s="572"/>
      <c r="R54" s="572"/>
      <c r="S54" s="572"/>
      <c r="T54" s="572"/>
      <c r="U54" s="572"/>
      <c r="V54" s="572"/>
      <c r="W54" s="572"/>
      <c r="X54" s="572"/>
      <c r="Y54" s="572"/>
      <c r="Z54" s="572"/>
      <c r="AA54" s="572"/>
      <c r="AB54" s="572"/>
    </row>
    <row r="55" spans="1:28">
      <c r="A55" s="294" t="s">
        <v>281</v>
      </c>
      <c r="B55" s="306">
        <f>'Tableau simu'!B31</f>
        <v>0.1</v>
      </c>
      <c r="C55" s="302">
        <v>0</v>
      </c>
      <c r="D55" s="302">
        <f>IF(C3&lt;0,-C$3*$B$55/12,0)</f>
        <v>0</v>
      </c>
      <c r="E55" s="302">
        <f t="shared" ref="E55:N55" si="44">IF(D3&lt;0,-D$3*$B$55/12,0)</f>
        <v>0</v>
      </c>
      <c r="F55" s="302">
        <f t="shared" si="44"/>
        <v>189.43752160415272</v>
      </c>
      <c r="G55" s="302">
        <f t="shared" si="44"/>
        <v>406.27461573956248</v>
      </c>
      <c r="H55" s="302">
        <f t="shared" si="44"/>
        <v>552.50702255500676</v>
      </c>
      <c r="I55" s="302">
        <f t="shared" si="44"/>
        <v>789.01573848824637</v>
      </c>
      <c r="J55" s="302">
        <f t="shared" si="44"/>
        <v>657.65972447828119</v>
      </c>
      <c r="K55" s="302">
        <f t="shared" si="44"/>
        <v>561.43128310109296</v>
      </c>
      <c r="L55" s="302">
        <f t="shared" si="44"/>
        <v>216.52954160715504</v>
      </c>
      <c r="M55" s="302">
        <f t="shared" si="44"/>
        <v>0</v>
      </c>
      <c r="N55" s="302">
        <f t="shared" si="44"/>
        <v>0</v>
      </c>
      <c r="O55" s="302">
        <f>IF(N3&lt;0,-N$3*$B$55/12,0)</f>
        <v>0</v>
      </c>
      <c r="P55" s="302">
        <f t="shared" ref="P55" si="45">IF(O3&lt;0,-O$3*$B$55/12,0)</f>
        <v>0</v>
      </c>
      <c r="Q55" s="302">
        <f t="shared" ref="Q55" si="46">IF(P3&lt;0,-P$3*$B$55/12,0)</f>
        <v>0</v>
      </c>
      <c r="R55" s="302">
        <f t="shared" ref="R55" si="47">IF(Q3&lt;0,-Q$3*$B$55/12,0)</f>
        <v>0</v>
      </c>
      <c r="S55" s="302">
        <f t="shared" ref="S55" si="48">IF(R3&lt;0,-R$3*$B$55/12,0)</f>
        <v>0</v>
      </c>
      <c r="T55" s="302">
        <f t="shared" ref="T55" si="49">IF(S3&lt;0,-S$3*$B$55/12,0)</f>
        <v>0</v>
      </c>
      <c r="U55" s="302">
        <f t="shared" ref="U55" si="50">IF(T3&lt;0,-T$3*$B$55/12,0)</f>
        <v>0</v>
      </c>
      <c r="V55" s="302">
        <f t="shared" ref="V55" si="51">IF(U3&lt;0,-U$3*$B$55/12,0)</f>
        <v>0</v>
      </c>
      <c r="W55" s="302">
        <f t="shared" ref="W55" si="52">IF(V3&lt;0,-V$3*$B$55/12,0)</f>
        <v>0</v>
      </c>
      <c r="X55" s="302">
        <f t="shared" ref="X55" si="53">IF(W3&lt;0,-W$3*$B$55/12,0)</f>
        <v>0</v>
      </c>
      <c r="Y55" s="302">
        <f t="shared" ref="Y55" si="54">IF(X3&lt;0,-X$3*$B$55/12,0)</f>
        <v>0</v>
      </c>
      <c r="Z55" s="302">
        <f t="shared" ref="Z55" si="55">IF(Y3&lt;0,-Y$3*$B$55/12,0)</f>
        <v>0</v>
      </c>
      <c r="AA55" s="302"/>
      <c r="AB55" s="302"/>
    </row>
    <row r="56" spans="1:28">
      <c r="A56" s="294" t="s">
        <v>284</v>
      </c>
      <c r="B56" s="295"/>
      <c r="C56" s="302">
        <f>-IPMT('Tableau simu'!$B$30/12,C2,'Tableau simu'!$B$29,$B$38,0)</f>
        <v>379.16666666666669</v>
      </c>
      <c r="D56" s="302">
        <f>-IPMT('Tableau simu'!$B$30/12,D2,'Tableau simu'!$B$29,$B$38,0)</f>
        <v>369.67090632743538</v>
      </c>
      <c r="E56" s="302">
        <f>-IPMT('Tableau simu'!$B$30/12,E2,'Tableau simu'!$B$29,$B$38,0)</f>
        <v>360.11975405289201</v>
      </c>
      <c r="F56" s="302">
        <f>-IPMT('Tableau simu'!$B$30/12,F2,'Tableau simu'!$B$29,$B$38,0)</f>
        <v>350.51288672341343</v>
      </c>
      <c r="G56" s="302">
        <f>-IPMT('Tableau simu'!$B$30/12,G2,'Tableau simu'!$B$29,$B$38,0)</f>
        <v>340.84997933451325</v>
      </c>
      <c r="H56" s="302">
        <f>-IPMT('Tableau simu'!$B$30/12,H2,'Tableau simu'!$B$29,$B$38,0)</f>
        <v>331.13070498584437</v>
      </c>
      <c r="I56" s="302">
        <f>-IPMT('Tableau simu'!$B$30/12,I2,'Tableau simu'!$B$29,$B$38,0)</f>
        <v>321.35473487014156</v>
      </c>
      <c r="J56" s="302">
        <f>-IPMT('Tableau simu'!$B$30/12,J2,'Tableau simu'!$B$29,$B$38,0)</f>
        <v>311.52173826209736</v>
      </c>
      <c r="K56" s="302">
        <f>-IPMT('Tableau simu'!$B$30/12,K2,'Tableau simu'!$B$29,$B$38,0)</f>
        <v>301.63138250717259</v>
      </c>
      <c r="L56" s="302">
        <f>-IPMT('Tableau simu'!$B$30/12,L2,'Tableau simu'!$B$29,$B$38,0)</f>
        <v>291.6833330103442</v>
      </c>
      <c r="M56" s="302">
        <f>-IPMT('Tableau simu'!$B$30/12,M2,'Tableau simu'!$B$29,$B$38,0)</f>
        <v>281.67725322478441</v>
      </c>
      <c r="N56" s="302">
        <f>-IPMT('Tableau simu'!$B$30/12,N2,'Tableau simu'!$B$29,$B$38,0)</f>
        <v>271.61280464047536</v>
      </c>
      <c r="O56" s="302">
        <f>-IPMT('Tableau simu'!$B$30/12,O2,'Tableau simu'!$B$29,$B$38,0)</f>
        <v>261.48964677275808</v>
      </c>
      <c r="P56" s="302">
        <f>-IPMT('Tableau simu'!$B$30/12,P2,'Tableau simu'!$B$29,$B$38,0)</f>
        <v>251.30743715081206</v>
      </c>
      <c r="Q56" s="302">
        <f>-IPMT('Tableau simu'!$B$30/12,Q2,'Tableau simu'!$B$29,$B$38,0)</f>
        <v>241.06583130607154</v>
      </c>
      <c r="R56" s="302">
        <f>-IPMT('Tableau simu'!$B$30/12,R2,'Tableau simu'!$B$29,$B$38,0)</f>
        <v>230.76448276057056</v>
      </c>
      <c r="S56" s="302">
        <f>-IPMT('Tableau simu'!$B$30/12,S2,'Tableau simu'!$B$29,$B$38,0)</f>
        <v>220.40304301522013</v>
      </c>
      <c r="T56" s="302">
        <f>-IPMT('Tableau simu'!$B$30/12,T2,'Tableau simu'!$B$29,$B$38,0)</f>
        <v>209.98116153802192</v>
      </c>
      <c r="U56" s="302">
        <f>-IPMT('Tableau simu'!$B$30/12,U2,'Tableau simu'!$B$29,$B$38,0)</f>
        <v>199.49848575220699</v>
      </c>
      <c r="V56" s="302">
        <f>-IPMT('Tableau simu'!$B$30/12,V2,'Tableau simu'!$B$29,$B$38,0)</f>
        <v>188.95466102430788</v>
      </c>
      <c r="W56" s="302">
        <f>-IPMT('Tableau simu'!$B$30/12,W2,'Tableau simu'!$B$29,$B$38,0)</f>
        <v>178.34933065216305</v>
      </c>
      <c r="X56" s="302">
        <f>-IPMT('Tableau simu'!$B$30/12,X2,'Tableau simu'!$B$29,$B$38,0)</f>
        <v>167.68213585284684</v>
      </c>
      <c r="Y56" s="302">
        <f>-IPMT('Tableau simu'!$B$30/12,Y2,'Tableau simu'!$B$29,$B$38,0)</f>
        <v>156.95271575053488</v>
      </c>
      <c r="Z56" s="302">
        <f>-IPMT('Tableau simu'!$B$30/12,Z2,'Tableau simu'!$B$29,$B$38,0)</f>
        <v>146.1607073642931</v>
      </c>
      <c r="AA56" s="302"/>
      <c r="AB56" s="302"/>
    </row>
    <row r="57" spans="1:28">
      <c r="A57" s="298" t="s">
        <v>218</v>
      </c>
      <c r="B57" s="163"/>
      <c r="C57" s="186">
        <f>C51-SUM(C54:C56)</f>
        <v>3287.948703750842</v>
      </c>
      <c r="D57" s="186">
        <f t="shared" ref="D57:Z57" si="56">D51-SUM(D54:D56)</f>
        <v>-26020.451296249168</v>
      </c>
      <c r="E57" s="186">
        <f t="shared" si="56"/>
        <v>-26020.451296249168</v>
      </c>
      <c r="F57" s="186">
        <f t="shared" si="56"/>
        <v>-17547.888817853323</v>
      </c>
      <c r="G57" s="186">
        <f t="shared" si="56"/>
        <v>-28381.045911988735</v>
      </c>
      <c r="H57" s="186">
        <f t="shared" si="56"/>
        <v>15762.721681195822</v>
      </c>
      <c r="I57" s="186">
        <f t="shared" si="56"/>
        <v>11547.412965262585</v>
      </c>
      <c r="J57" s="186">
        <f t="shared" si="56"/>
        <v>41388.208979272546</v>
      </c>
      <c r="K57" s="186">
        <f t="shared" si="56"/>
        <v>30257.557420649737</v>
      </c>
      <c r="L57" s="186">
        <f t="shared" si="56"/>
        <v>30602.459162143674</v>
      </c>
      <c r="M57" s="186">
        <f t="shared" si="56"/>
        <v>30818.988703750827</v>
      </c>
      <c r="N57" s="186">
        <f t="shared" si="56"/>
        <v>30818.988703750831</v>
      </c>
      <c r="O57" s="186">
        <f t="shared" si="56"/>
        <v>21848.428703750826</v>
      </c>
      <c r="P57" s="186">
        <f t="shared" si="56"/>
        <v>16791.988703750816</v>
      </c>
      <c r="Q57" s="186">
        <f t="shared" si="56"/>
        <v>24836.988703750816</v>
      </c>
      <c r="R57" s="186">
        <f t="shared" si="56"/>
        <v>-1435.0112962491853</v>
      </c>
      <c r="S57" s="186">
        <f t="shared" si="56"/>
        <v>12879.388703750825</v>
      </c>
      <c r="T57" s="186">
        <f t="shared" si="56"/>
        <v>31908.82870375082</v>
      </c>
      <c r="U57" s="186">
        <f t="shared" si="56"/>
        <v>-16455.01129624918</v>
      </c>
      <c r="V57" s="186">
        <f t="shared" si="56"/>
        <v>64696.988703750845</v>
      </c>
      <c r="W57" s="186">
        <f t="shared" si="56"/>
        <v>-28215.011296249177</v>
      </c>
      <c r="X57" s="186">
        <f t="shared" si="56"/>
        <v>64696.988703750845</v>
      </c>
      <c r="Y57" s="186">
        <f t="shared" si="56"/>
        <v>-28215.01129624918</v>
      </c>
      <c r="Z57" s="186">
        <f t="shared" si="56"/>
        <v>64696.988703750845</v>
      </c>
      <c r="AA57" s="186"/>
      <c r="AB57" s="186"/>
    </row>
    <row r="60" spans="1:28">
      <c r="D60" s="38"/>
    </row>
  </sheetData>
  <phoneticPr fontId="0" type="noConversion"/>
  <printOptions horizontalCentered="1" verticalCentered="1" headings="1" gridLines="1"/>
  <pageMargins left="0" right="0" top="0" bottom="0" header="0" footer="0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19</vt:i4>
      </vt:variant>
      <vt:variant>
        <vt:lpstr>Plages nommées</vt:lpstr>
      </vt:variant>
      <vt:variant>
        <vt:i4>15</vt:i4>
      </vt:variant>
    </vt:vector>
  </HeadingPairs>
  <TitlesOfParts>
    <vt:vector size="34" baseType="lpstr">
      <vt:lpstr>Tableau simu</vt:lpstr>
      <vt:lpstr>Prod,Fact,Encaisse</vt:lpstr>
      <vt:lpstr>TEC</vt:lpstr>
      <vt:lpstr>Personnel,salaires</vt:lpstr>
      <vt:lpstr>Immo</vt:lpstr>
      <vt:lpstr>TH </vt:lpstr>
      <vt:lpstr>Budget, PV contrat</vt:lpstr>
      <vt:lpstr>TVA</vt:lpstr>
      <vt:lpstr>Trésorerie </vt:lpstr>
      <vt:lpstr>Produits </vt:lpstr>
      <vt:lpstr>Charges </vt:lpstr>
      <vt:lpstr>Passif </vt:lpstr>
      <vt:lpstr>Actif </vt:lpstr>
      <vt:lpstr>FR, BFR,CA max</vt:lpstr>
      <vt:lpstr>Plan financt</vt:lpstr>
      <vt:lpstr>Equation perf</vt:lpstr>
      <vt:lpstr>Impact Scénariste</vt:lpstr>
      <vt:lpstr>Prime DC et IRPP</vt:lpstr>
      <vt:lpstr>Diagnostic</vt:lpstr>
      <vt:lpstr>'Trésorerie '!Impression_des_titres</vt:lpstr>
      <vt:lpstr>'Actif '!Zone_d_impression</vt:lpstr>
      <vt:lpstr>'Budget, PV contrat'!Zone_d_impression</vt:lpstr>
      <vt:lpstr>'Charges '!Zone_d_impression</vt:lpstr>
      <vt:lpstr>'Equation perf'!Zone_d_impression</vt:lpstr>
      <vt:lpstr>'FR, BFR,CA max'!Zone_d_impression</vt:lpstr>
      <vt:lpstr>Immo!Zone_d_impression</vt:lpstr>
      <vt:lpstr>'Passif '!Zone_d_impression</vt:lpstr>
      <vt:lpstr>'Personnel,salaires'!Zone_d_impression</vt:lpstr>
      <vt:lpstr>'Produits '!Zone_d_impression</vt:lpstr>
      <vt:lpstr>'Tableau simu'!Zone_d_impression</vt:lpstr>
      <vt:lpstr>TEC!Zone_d_impression</vt:lpstr>
      <vt:lpstr>'TH '!Zone_d_impression</vt:lpstr>
      <vt:lpstr>'Trésorerie '!Zone_d_impression</vt:lpstr>
      <vt:lpstr>TVA!Zone_d_impression</vt:lpstr>
    </vt:vector>
  </TitlesOfParts>
  <Company>3MI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Guy Doriot</dc:creator>
  <cp:lastModifiedBy>Malgorn Kevin</cp:lastModifiedBy>
  <cp:lastPrinted>2009-02-27T14:44:01Z</cp:lastPrinted>
  <dcterms:created xsi:type="dcterms:W3CDTF">2004-03-12T16:54:30Z</dcterms:created>
  <dcterms:modified xsi:type="dcterms:W3CDTF">2013-11-07T23:15:30Z</dcterms:modified>
</cp:coreProperties>
</file>