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6" yWindow="612" windowWidth="19416" windowHeight="9156" tabRatio="949" firstSheet="5" activeTab="12"/>
  </bookViews>
  <sheets>
    <sheet name="Tableau simu" sheetId="1" r:id="rId1"/>
    <sheet name="Prod,Fact,Encaisse" sheetId="2" r:id="rId2"/>
    <sheet name="TEC" sheetId="3" r:id="rId3"/>
    <sheet name="Personnel,salaires" sheetId="4" r:id="rId4"/>
    <sheet name="Immo" sheetId="5" r:id="rId5"/>
    <sheet name="TH " sheetId="6" r:id="rId6"/>
    <sheet name="Budget, PV contrat" sheetId="7" r:id="rId7"/>
    <sheet name="TVA" sheetId="8" r:id="rId8"/>
    <sheet name="Trésorerie " sheetId="9" r:id="rId9"/>
    <sheet name="Produits " sheetId="10" r:id="rId10"/>
    <sheet name="Charges " sheetId="11" r:id="rId11"/>
    <sheet name="Passif " sheetId="12" r:id="rId12"/>
    <sheet name="Actif " sheetId="13" r:id="rId13"/>
    <sheet name="FR, BFR,CA max" sheetId="14" r:id="rId14"/>
    <sheet name="Plan financt" sheetId="15" r:id="rId15"/>
    <sheet name="Equation perf" sheetId="16" r:id="rId16"/>
    <sheet name="Impact Scénariste" sheetId="17" r:id="rId17"/>
    <sheet name="Prime DC et IRPP" sheetId="18" r:id="rId18"/>
    <sheet name="Diagnostic" sheetId="19" r:id="rId19"/>
  </sheets>
  <calcPr calcId="125725" concurrentCalc="0"/>
</workbook>
</file>

<file path=xl/calcChain.xml><?xml version="1.0" encoding="utf-8"?>
<calcChain xmlns="http://schemas.openxmlformats.org/spreadsheetml/2006/main">
  <c r="H41" i="13"/>
  <c r="H42"/>
  <c r="H28"/>
  <c r="R7" i="9"/>
  <c r="R30"/>
  <c r="Q34"/>
  <c r="R34"/>
  <c r="O51"/>
  <c r="O55"/>
  <c r="O49"/>
  <c r="O48"/>
  <c r="N48"/>
  <c r="P48"/>
  <c r="P49"/>
  <c r="P51"/>
  <c r="N9"/>
  <c r="AA9"/>
  <c r="R9"/>
  <c r="Q9"/>
  <c r="P9"/>
  <c r="P57"/>
  <c r="Q3"/>
  <c r="Q48"/>
  <c r="Q49"/>
  <c r="Q51"/>
  <c r="Q57"/>
  <c r="R3"/>
  <c r="R48"/>
  <c r="R49"/>
  <c r="R51"/>
  <c r="R55"/>
  <c r="R57"/>
  <c r="S3"/>
  <c r="S48"/>
  <c r="S49"/>
  <c r="S51"/>
  <c r="S55"/>
  <c r="S57"/>
  <c r="T3"/>
  <c r="T48"/>
  <c r="T49"/>
  <c r="T51"/>
  <c r="T55"/>
  <c r="T57"/>
  <c r="U3"/>
  <c r="U48"/>
  <c r="U49"/>
  <c r="U51"/>
  <c r="U55"/>
  <c r="U57"/>
  <c r="V3"/>
  <c r="V48"/>
  <c r="V49"/>
  <c r="V51"/>
  <c r="V55"/>
  <c r="V57"/>
  <c r="W3"/>
  <c r="W48"/>
  <c r="W49"/>
  <c r="W51"/>
  <c r="W55"/>
  <c r="W57"/>
  <c r="X3"/>
  <c r="X48"/>
  <c r="X49"/>
  <c r="X51"/>
  <c r="X55"/>
  <c r="X57"/>
  <c r="Y3"/>
  <c r="Y48"/>
  <c r="Y49"/>
  <c r="Y51"/>
  <c r="Y55"/>
  <c r="Y57"/>
  <c r="Z3"/>
  <c r="P7"/>
  <c r="Q7"/>
  <c r="S7"/>
  <c r="T7"/>
  <c r="U7"/>
  <c r="V7"/>
  <c r="W7"/>
  <c r="X7"/>
  <c r="Y7"/>
  <c r="Z7"/>
  <c r="AA7"/>
  <c r="O7"/>
  <c r="O6"/>
  <c r="P6"/>
  <c r="Q6"/>
  <c r="R6"/>
  <c r="S6"/>
  <c r="T6"/>
  <c r="U6"/>
  <c r="V6"/>
  <c r="W6"/>
  <c r="X6"/>
  <c r="Y6"/>
  <c r="Z6"/>
  <c r="AA6"/>
  <c r="P40" i="2"/>
  <c r="P39"/>
  <c r="N7" i="9"/>
  <c r="V30"/>
  <c r="V34"/>
  <c r="Z30"/>
  <c r="Z34"/>
  <c r="Z48"/>
  <c r="Z49"/>
  <c r="Z51"/>
  <c r="O30"/>
  <c r="O34"/>
  <c r="O57"/>
  <c r="N30"/>
  <c r="N34"/>
  <c r="N51"/>
  <c r="N57"/>
  <c r="O3"/>
  <c r="P3"/>
  <c r="P55"/>
  <c r="P30"/>
  <c r="P34"/>
  <c r="Q55"/>
  <c r="Q30"/>
  <c r="S30"/>
  <c r="S34"/>
  <c r="T30"/>
  <c r="T34"/>
  <c r="U30"/>
  <c r="U34"/>
  <c r="W30"/>
  <c r="W34"/>
  <c r="X30"/>
  <c r="X34"/>
  <c r="Y30"/>
  <c r="Y34"/>
  <c r="Z55"/>
  <c r="Z57"/>
  <c r="AA3"/>
  <c r="G12" i="1"/>
  <c r="H51" i="13"/>
  <c r="D4" i="16"/>
  <c r="D55" i="11"/>
  <c r="D58"/>
  <c r="D65"/>
  <c r="D66"/>
  <c r="D69"/>
  <c r="D71"/>
  <c r="F8" i="12"/>
  <c r="F7"/>
  <c r="F17"/>
  <c r="D5" i="16"/>
  <c r="D6"/>
  <c r="D13"/>
  <c r="D8"/>
  <c r="D11"/>
  <c r="D23"/>
  <c r="D22"/>
  <c r="D14"/>
  <c r="D16"/>
  <c r="D17"/>
  <c r="D21"/>
  <c r="D20"/>
  <c r="D19"/>
  <c r="D15"/>
  <c r="D12"/>
  <c r="D10"/>
  <c r="D9"/>
  <c r="D37" i="12"/>
  <c r="D44"/>
  <c r="D7"/>
  <c r="D17"/>
  <c r="C65" i="11"/>
  <c r="C13"/>
  <c r="C9"/>
  <c r="C49"/>
  <c r="C66"/>
  <c r="C58"/>
  <c r="C10"/>
  <c r="D88" i="2"/>
  <c r="H14" i="4"/>
  <c r="I14"/>
  <c r="J14"/>
  <c r="K14"/>
  <c r="L14"/>
  <c r="M14"/>
  <c r="N14"/>
  <c r="O14"/>
  <c r="P14"/>
  <c r="P15"/>
  <c r="B5" i="6"/>
  <c r="B8"/>
  <c r="B6"/>
  <c r="B7"/>
  <c r="D8"/>
  <c r="B9"/>
  <c r="D9"/>
  <c r="D11"/>
  <c r="D18"/>
  <c r="G18"/>
  <c r="E8"/>
  <c r="E9"/>
  <c r="E11"/>
  <c r="E18"/>
  <c r="E19"/>
  <c r="G19"/>
  <c r="F8"/>
  <c r="F9"/>
  <c r="F11"/>
  <c r="F18"/>
  <c r="F19"/>
  <c r="F20"/>
  <c r="G20"/>
  <c r="G8"/>
  <c r="G9"/>
  <c r="G11"/>
  <c r="G22"/>
  <c r="G24"/>
  <c r="B4" i="7"/>
  <c r="D4"/>
  <c r="H18" i="6"/>
  <c r="H19"/>
  <c r="H20"/>
  <c r="H8"/>
  <c r="H9"/>
  <c r="H11"/>
  <c r="H22"/>
  <c r="H24"/>
  <c r="B5" i="7"/>
  <c r="D5"/>
  <c r="I18" i="6"/>
  <c r="I19"/>
  <c r="I20"/>
  <c r="I8"/>
  <c r="I9"/>
  <c r="I11"/>
  <c r="I22"/>
  <c r="I24"/>
  <c r="B6" i="7"/>
  <c r="D6"/>
  <c r="J18" i="6"/>
  <c r="J19"/>
  <c r="J20"/>
  <c r="J8"/>
  <c r="J9"/>
  <c r="J11"/>
  <c r="J22"/>
  <c r="J24"/>
  <c r="B7" i="7"/>
  <c r="D7"/>
  <c r="D9"/>
  <c r="D18"/>
  <c r="B3" i="3"/>
  <c r="C4"/>
  <c r="D4"/>
  <c r="E4"/>
  <c r="C5"/>
  <c r="D5"/>
  <c r="E5"/>
  <c r="C6"/>
  <c r="D6"/>
  <c r="E6"/>
  <c r="C7"/>
  <c r="D7"/>
  <c r="E7"/>
  <c r="E8"/>
  <c r="E17"/>
  <c r="E19"/>
  <c r="O16" i="8"/>
  <c r="P16"/>
  <c r="Q16"/>
  <c r="R16"/>
  <c r="S16"/>
  <c r="T16"/>
  <c r="U16"/>
  <c r="V16"/>
  <c r="W16"/>
  <c r="X16"/>
  <c r="Y16"/>
  <c r="Z16"/>
  <c r="AA16"/>
  <c r="AB16"/>
  <c r="V17"/>
  <c r="C16"/>
  <c r="C17"/>
  <c r="D18"/>
  <c r="D19"/>
  <c r="D21"/>
  <c r="D22"/>
  <c r="E9"/>
  <c r="D9" i="9"/>
  <c r="D10"/>
  <c r="D14" i="8"/>
  <c r="D16"/>
  <c r="D17"/>
  <c r="E18"/>
  <c r="E19"/>
  <c r="E21"/>
  <c r="E22"/>
  <c r="F9"/>
  <c r="E9" i="9"/>
  <c r="E10"/>
  <c r="E14" i="8"/>
  <c r="E16"/>
  <c r="E17"/>
  <c r="F18"/>
  <c r="F19"/>
  <c r="F21"/>
  <c r="F22"/>
  <c r="G9"/>
  <c r="F9" i="9"/>
  <c r="F10"/>
  <c r="F14" i="8"/>
  <c r="F16"/>
  <c r="F17"/>
  <c r="G18"/>
  <c r="G19"/>
  <c r="G21"/>
  <c r="G22"/>
  <c r="H9"/>
  <c r="H15" i="4"/>
  <c r="G11" i="9"/>
  <c r="G27"/>
  <c r="G13" i="8"/>
  <c r="G9" i="9"/>
  <c r="G10"/>
  <c r="G14" i="8"/>
  <c r="G16"/>
  <c r="G17"/>
  <c r="H18"/>
  <c r="H19"/>
  <c r="H21"/>
  <c r="H22"/>
  <c r="I9"/>
  <c r="I15" i="4"/>
  <c r="H11" i="9"/>
  <c r="H27"/>
  <c r="H13" i="8"/>
  <c r="H9" i="9"/>
  <c r="H10"/>
  <c r="H14" i="8"/>
  <c r="H16"/>
  <c r="H17"/>
  <c r="I18"/>
  <c r="I19"/>
  <c r="I21"/>
  <c r="I22"/>
  <c r="J9"/>
  <c r="J15" i="4"/>
  <c r="I11" i="9"/>
  <c r="I27"/>
  <c r="I13" i="8"/>
  <c r="J9" i="9"/>
  <c r="J10"/>
  <c r="I14" i="8"/>
  <c r="I16"/>
  <c r="I17"/>
  <c r="J18"/>
  <c r="J19"/>
  <c r="J21"/>
  <c r="J22"/>
  <c r="K9"/>
  <c r="K15" i="4"/>
  <c r="J11" i="9"/>
  <c r="J27"/>
  <c r="J13" i="8"/>
  <c r="K9" i="9"/>
  <c r="K10"/>
  <c r="J14" i="8"/>
  <c r="J16"/>
  <c r="J17"/>
  <c r="K18"/>
  <c r="K19"/>
  <c r="K21"/>
  <c r="K22"/>
  <c r="L9"/>
  <c r="L15" i="4"/>
  <c r="K11" i="9"/>
  <c r="K27"/>
  <c r="K13" i="8"/>
  <c r="L9" i="9"/>
  <c r="L10"/>
  <c r="K14" i="8"/>
  <c r="K16"/>
  <c r="K17"/>
  <c r="L18"/>
  <c r="L19"/>
  <c r="L21"/>
  <c r="L22"/>
  <c r="M9"/>
  <c r="M15" i="4"/>
  <c r="L11" i="9"/>
  <c r="L27"/>
  <c r="L13" i="8"/>
  <c r="M9" i="9"/>
  <c r="M10"/>
  <c r="L14" i="8"/>
  <c r="L16"/>
  <c r="L17"/>
  <c r="M18"/>
  <c r="M19"/>
  <c r="M21"/>
  <c r="M22"/>
  <c r="N9"/>
  <c r="N15" i="4"/>
  <c r="M11" i="9"/>
  <c r="M27"/>
  <c r="M13" i="8"/>
  <c r="N10" i="9"/>
  <c r="M14" i="8"/>
  <c r="M16"/>
  <c r="M17"/>
  <c r="N18"/>
  <c r="N19"/>
  <c r="N21"/>
  <c r="N22"/>
  <c r="O9"/>
  <c r="O15" i="4"/>
  <c r="N11" i="9"/>
  <c r="N27"/>
  <c r="N13" i="8"/>
  <c r="O9" i="9"/>
  <c r="O10"/>
  <c r="N14" i="8"/>
  <c r="N16"/>
  <c r="N17"/>
  <c r="O18"/>
  <c r="O19"/>
  <c r="O21"/>
  <c r="O17"/>
  <c r="P18"/>
  <c r="O22"/>
  <c r="P19"/>
  <c r="P9"/>
  <c r="P21"/>
  <c r="P22"/>
  <c r="Q9"/>
  <c r="P17"/>
  <c r="Q18"/>
  <c r="Q19"/>
  <c r="Q21"/>
  <c r="Q22"/>
  <c r="R9"/>
  <c r="Q17"/>
  <c r="R18"/>
  <c r="R19"/>
  <c r="R21"/>
  <c r="R22"/>
  <c r="S9"/>
  <c r="R17"/>
  <c r="S18"/>
  <c r="S19"/>
  <c r="S21"/>
  <c r="S22"/>
  <c r="T9"/>
  <c r="S17"/>
  <c r="T18"/>
  <c r="T19"/>
  <c r="T21"/>
  <c r="T22"/>
  <c r="U9"/>
  <c r="T17"/>
  <c r="U18"/>
  <c r="U19"/>
  <c r="U21"/>
  <c r="U22"/>
  <c r="V9"/>
  <c r="U17"/>
  <c r="V18"/>
  <c r="V19"/>
  <c r="V21"/>
  <c r="V22"/>
  <c r="W9"/>
  <c r="W18"/>
  <c r="W19"/>
  <c r="W21"/>
  <c r="W22"/>
  <c r="X9"/>
  <c r="W17"/>
  <c r="X18"/>
  <c r="X19"/>
  <c r="X21"/>
  <c r="X22"/>
  <c r="Y9"/>
  <c r="X17"/>
  <c r="Y18"/>
  <c r="Y19"/>
  <c r="Y21"/>
  <c r="Y22"/>
  <c r="Z9"/>
  <c r="Y17"/>
  <c r="Z18"/>
  <c r="Z19"/>
  <c r="Z21"/>
  <c r="Z22"/>
  <c r="Z31" i="9"/>
  <c r="AA10"/>
  <c r="AA29"/>
  <c r="AA30"/>
  <c r="AA31"/>
  <c r="AA34"/>
  <c r="Q31"/>
  <c r="Q10"/>
  <c r="R31"/>
  <c r="R10"/>
  <c r="S31"/>
  <c r="S9"/>
  <c r="S10"/>
  <c r="T31"/>
  <c r="T9"/>
  <c r="T10"/>
  <c r="U31"/>
  <c r="U9"/>
  <c r="U10"/>
  <c r="V31"/>
  <c r="V9"/>
  <c r="V10"/>
  <c r="W31"/>
  <c r="W9"/>
  <c r="W10"/>
  <c r="X31"/>
  <c r="X9"/>
  <c r="X10"/>
  <c r="Y31"/>
  <c r="Y9"/>
  <c r="Y10"/>
  <c r="Z9"/>
  <c r="Z10"/>
  <c r="P31"/>
  <c r="P10"/>
  <c r="AA27"/>
  <c r="AA28"/>
  <c r="AB7"/>
  <c r="AB6"/>
  <c r="Z10" i="8"/>
  <c r="P7"/>
  <c r="Q7"/>
  <c r="R7"/>
  <c r="S7"/>
  <c r="T7"/>
  <c r="U7"/>
  <c r="V7"/>
  <c r="W7"/>
  <c r="X7"/>
  <c r="Y7"/>
  <c r="Z7"/>
  <c r="AA7"/>
  <c r="AB7"/>
  <c r="O7"/>
  <c r="Q4"/>
  <c r="P4"/>
  <c r="D12" i="11"/>
  <c r="C9" i="10"/>
  <c r="D9"/>
  <c r="G6" i="3"/>
  <c r="B15" i="18"/>
  <c r="B4"/>
  <c r="B7"/>
  <c r="B8"/>
  <c r="B10"/>
  <c r="C8"/>
  <c r="C10"/>
  <c r="C7"/>
  <c r="N20" i="8"/>
  <c r="E36" i="13"/>
  <c r="E34"/>
  <c r="C31" i="9"/>
  <c r="C34"/>
  <c r="C51"/>
  <c r="C57"/>
  <c r="D3"/>
  <c r="D30"/>
  <c r="D31"/>
  <c r="D34"/>
  <c r="D51"/>
  <c r="D57"/>
  <c r="E3"/>
  <c r="E30"/>
  <c r="E31"/>
  <c r="E34"/>
  <c r="E51"/>
  <c r="E55"/>
  <c r="E57"/>
  <c r="F3"/>
  <c r="F30"/>
  <c r="F31"/>
  <c r="F34"/>
  <c r="F51"/>
  <c r="F55"/>
  <c r="F57"/>
  <c r="G3"/>
  <c r="G28"/>
  <c r="G30"/>
  <c r="G31"/>
  <c r="G34"/>
  <c r="G51"/>
  <c r="G55"/>
  <c r="G57"/>
  <c r="H3"/>
  <c r="H26"/>
  <c r="H28"/>
  <c r="H30"/>
  <c r="H31"/>
  <c r="H34"/>
  <c r="H51"/>
  <c r="H55"/>
  <c r="H57"/>
  <c r="I3"/>
  <c r="I26"/>
  <c r="I28"/>
  <c r="I9"/>
  <c r="I30"/>
  <c r="I31"/>
  <c r="I34"/>
  <c r="I51"/>
  <c r="I55"/>
  <c r="I57"/>
  <c r="J3"/>
  <c r="J26"/>
  <c r="J28"/>
  <c r="J30"/>
  <c r="J31"/>
  <c r="J34"/>
  <c r="J51"/>
  <c r="J55"/>
  <c r="J57"/>
  <c r="K3"/>
  <c r="K26"/>
  <c r="K28"/>
  <c r="K30"/>
  <c r="K31"/>
  <c r="K34"/>
  <c r="K51"/>
  <c r="K55"/>
  <c r="K57"/>
  <c r="L3"/>
  <c r="L26"/>
  <c r="L28"/>
  <c r="L30"/>
  <c r="L31"/>
  <c r="L34"/>
  <c r="L51"/>
  <c r="L55"/>
  <c r="L57"/>
  <c r="M3"/>
  <c r="M26"/>
  <c r="M28"/>
  <c r="M30"/>
  <c r="M31"/>
  <c r="M34"/>
  <c r="M51"/>
  <c r="M55"/>
  <c r="M57"/>
  <c r="N3"/>
  <c r="N26"/>
  <c r="N28"/>
  <c r="N31"/>
  <c r="N55"/>
  <c r="E41" i="13"/>
  <c r="E30"/>
  <c r="E42"/>
  <c r="E51"/>
  <c r="C4" i="16"/>
  <c r="C15" i="10"/>
  <c r="C34"/>
  <c r="C36"/>
  <c r="I10" i="9"/>
  <c r="C12" i="11"/>
  <c r="C34"/>
  <c r="C35"/>
  <c r="C27"/>
  <c r="C55"/>
  <c r="C69"/>
  <c r="C71"/>
  <c r="D8" i="12"/>
  <c r="C5" i="16"/>
  <c r="C6"/>
  <c r="C12"/>
  <c r="C13"/>
  <c r="C8"/>
  <c r="C11"/>
  <c r="C23"/>
  <c r="C22"/>
  <c r="C14"/>
  <c r="C16"/>
  <c r="C17"/>
  <c r="C21"/>
  <c r="C20"/>
  <c r="C19"/>
  <c r="C15"/>
  <c r="C10"/>
  <c r="C9"/>
  <c r="H19" i="13"/>
  <c r="G19"/>
  <c r="F19"/>
  <c r="F7"/>
  <c r="C7"/>
  <c r="E7"/>
  <c r="H7"/>
  <c r="F6"/>
  <c r="C6"/>
  <c r="D22" i="12"/>
  <c r="C22"/>
  <c r="E4"/>
  <c r="C32" i="10"/>
  <c r="C25"/>
  <c r="D55" i="9"/>
  <c r="C55"/>
  <c r="B55"/>
  <c r="B46"/>
  <c r="O45"/>
  <c r="C45"/>
  <c r="C44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B38"/>
  <c r="C37"/>
  <c r="B37"/>
  <c r="B21" i="14"/>
  <c r="AB29" i="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C29"/>
  <c r="AB28"/>
  <c r="B28"/>
  <c r="B27"/>
  <c r="AB27"/>
  <c r="B26"/>
  <c r="B23"/>
  <c r="AB11"/>
  <c r="B7"/>
  <c r="D4"/>
  <c r="C14" i="8"/>
  <c r="J20" i="7"/>
  <c r="J21"/>
  <c r="A6" i="2"/>
  <c r="G20" i="7"/>
  <c r="G21"/>
  <c r="A4" i="2"/>
  <c r="D20" i="7"/>
  <c r="D21"/>
  <c r="A2" i="2"/>
  <c r="C18" i="7"/>
  <c r="E16"/>
  <c r="H16"/>
  <c r="J16"/>
  <c r="B16"/>
  <c r="I15"/>
  <c r="F15"/>
  <c r="E15"/>
  <c r="B15"/>
  <c r="D15"/>
  <c r="F14"/>
  <c r="I14"/>
  <c r="E14"/>
  <c r="B14"/>
  <c r="D14"/>
  <c r="F13"/>
  <c r="I13"/>
  <c r="E13"/>
  <c r="B13"/>
  <c r="D13"/>
  <c r="G10"/>
  <c r="J10"/>
  <c r="I8"/>
  <c r="J8"/>
  <c r="H8"/>
  <c r="G8"/>
  <c r="F8"/>
  <c r="B8"/>
  <c r="D8"/>
  <c r="F7"/>
  <c r="I7"/>
  <c r="F6"/>
  <c r="I6"/>
  <c r="F5"/>
  <c r="I5"/>
  <c r="F4"/>
  <c r="I4"/>
  <c r="F16" i="6"/>
  <c r="E16"/>
  <c r="B14"/>
  <c r="B16"/>
  <c r="J16"/>
  <c r="U13"/>
  <c r="L13"/>
  <c r="M12"/>
  <c r="B12"/>
  <c r="P10"/>
  <c r="M34" i="5"/>
  <c r="F5" i="13"/>
  <c r="C34" i="5"/>
  <c r="C5" i="13"/>
  <c r="O32" i="5"/>
  <c r="G7" i="13"/>
  <c r="F32" i="5"/>
  <c r="E32"/>
  <c r="D7" i="13"/>
  <c r="O31" i="5"/>
  <c r="G6" i="13"/>
  <c r="F31" i="5"/>
  <c r="E31"/>
  <c r="D6" i="13"/>
  <c r="E6"/>
  <c r="H6"/>
  <c r="C27" i="5"/>
  <c r="O25"/>
  <c r="E25"/>
  <c r="L24"/>
  <c r="I24"/>
  <c r="F24"/>
  <c r="C24"/>
  <c r="V23"/>
  <c r="L23"/>
  <c r="E23"/>
  <c r="U22"/>
  <c r="V22"/>
  <c r="R22"/>
  <c r="K22"/>
  <c r="H22"/>
  <c r="E22"/>
  <c r="S21"/>
  <c r="P21"/>
  <c r="L21"/>
  <c r="H21"/>
  <c r="S20"/>
  <c r="U20"/>
  <c r="R20"/>
  <c r="P20"/>
  <c r="U19"/>
  <c r="V19"/>
  <c r="R19"/>
  <c r="K19"/>
  <c r="H19"/>
  <c r="L19"/>
  <c r="U18"/>
  <c r="R18"/>
  <c r="V18"/>
  <c r="L18"/>
  <c r="K18"/>
  <c r="H18"/>
  <c r="U17"/>
  <c r="S17"/>
  <c r="P17"/>
  <c r="R17"/>
  <c r="V17"/>
  <c r="V16"/>
  <c r="U16"/>
  <c r="R16"/>
  <c r="L16"/>
  <c r="K16"/>
  <c r="H16"/>
  <c r="U15"/>
  <c r="R15"/>
  <c r="V15"/>
  <c r="K15"/>
  <c r="H15"/>
  <c r="L15"/>
  <c r="U14"/>
  <c r="S14"/>
  <c r="P14"/>
  <c r="R14"/>
  <c r="V14"/>
  <c r="U13"/>
  <c r="R13"/>
  <c r="V13"/>
  <c r="L13"/>
  <c r="H10" i="6"/>
  <c r="K13" i="5"/>
  <c r="H13"/>
  <c r="U12"/>
  <c r="V12"/>
  <c r="S12"/>
  <c r="R12"/>
  <c r="U11"/>
  <c r="V11"/>
  <c r="Q10" i="6"/>
  <c r="R11" i="5"/>
  <c r="K11"/>
  <c r="H11"/>
  <c r="S10"/>
  <c r="R10"/>
  <c r="P10"/>
  <c r="U9"/>
  <c r="R9"/>
  <c r="V9"/>
  <c r="K9"/>
  <c r="H9"/>
  <c r="L9"/>
  <c r="V8"/>
  <c r="U8"/>
  <c r="R8"/>
  <c r="L8"/>
  <c r="F10" i="6"/>
  <c r="K8" i="5"/>
  <c r="H8"/>
  <c r="U7"/>
  <c r="R7"/>
  <c r="V7"/>
  <c r="K7"/>
  <c r="H7"/>
  <c r="L7"/>
  <c r="E10" i="6"/>
  <c r="V6" i="5"/>
  <c r="U6"/>
  <c r="R6"/>
  <c r="K6"/>
  <c r="H6"/>
  <c r="V14" i="4"/>
  <c r="S14"/>
  <c r="R14"/>
  <c r="Q14"/>
  <c r="AB14"/>
  <c r="AC13"/>
  <c r="AB13"/>
  <c r="AA13"/>
  <c r="Z13"/>
  <c r="Y13"/>
  <c r="X13"/>
  <c r="W13"/>
  <c r="V13"/>
  <c r="U13"/>
  <c r="T13"/>
  <c r="S13"/>
  <c r="R13"/>
  <c r="AD13"/>
  <c r="T5" i="6"/>
  <c r="C13" i="4"/>
  <c r="O13"/>
  <c r="AC12"/>
  <c r="AB12"/>
  <c r="AA12"/>
  <c r="Z12"/>
  <c r="Y12"/>
  <c r="X12"/>
  <c r="W12"/>
  <c r="V12"/>
  <c r="U12"/>
  <c r="T12"/>
  <c r="S12"/>
  <c r="R12"/>
  <c r="AD12"/>
  <c r="S5" i="6"/>
  <c r="C12" i="4"/>
  <c r="N12"/>
  <c r="AC11"/>
  <c r="AB11"/>
  <c r="AA11"/>
  <c r="Z11"/>
  <c r="Y11"/>
  <c r="X11"/>
  <c r="W11"/>
  <c r="V11"/>
  <c r="U11"/>
  <c r="T11"/>
  <c r="S11"/>
  <c r="R11"/>
  <c r="C11"/>
  <c r="M11"/>
  <c r="AC10"/>
  <c r="AB10"/>
  <c r="AA10"/>
  <c r="Z10"/>
  <c r="Y10"/>
  <c r="X10"/>
  <c r="W10"/>
  <c r="V10"/>
  <c r="U10"/>
  <c r="T10"/>
  <c r="S10"/>
  <c r="R10"/>
  <c r="AD10"/>
  <c r="Q5" i="6"/>
  <c r="C10" i="4"/>
  <c r="L10"/>
  <c r="AC9"/>
  <c r="AB9"/>
  <c r="AA9"/>
  <c r="Z9"/>
  <c r="Y9"/>
  <c r="X9"/>
  <c r="W9"/>
  <c r="V9"/>
  <c r="U9"/>
  <c r="T9"/>
  <c r="S9"/>
  <c r="R9"/>
  <c r="AD9"/>
  <c r="AC8"/>
  <c r="AB8"/>
  <c r="AA8"/>
  <c r="Z8"/>
  <c r="Y8"/>
  <c r="X8"/>
  <c r="W8"/>
  <c r="V8"/>
  <c r="U8"/>
  <c r="T8"/>
  <c r="S8"/>
  <c r="R8"/>
  <c r="AD8"/>
  <c r="C8"/>
  <c r="L8"/>
  <c r="AC7"/>
  <c r="AB7"/>
  <c r="AB15"/>
  <c r="Y11" i="9"/>
  <c r="AA7" i="4"/>
  <c r="Z7"/>
  <c r="Y7"/>
  <c r="X7"/>
  <c r="W7"/>
  <c r="V7"/>
  <c r="U7"/>
  <c r="T7"/>
  <c r="S7"/>
  <c r="R7"/>
  <c r="AD7"/>
  <c r="P5" i="6"/>
  <c r="C7" i="4"/>
  <c r="J7"/>
  <c r="AC6"/>
  <c r="AB6"/>
  <c r="AA6"/>
  <c r="Z6"/>
  <c r="Y6"/>
  <c r="X6"/>
  <c r="W6"/>
  <c r="V6"/>
  <c r="U6"/>
  <c r="T6"/>
  <c r="S6"/>
  <c r="R6"/>
  <c r="AD6"/>
  <c r="O5" i="6"/>
  <c r="D6" i="4"/>
  <c r="C6"/>
  <c r="O6"/>
  <c r="AC5"/>
  <c r="AB5"/>
  <c r="AA5"/>
  <c r="Z5"/>
  <c r="Y5"/>
  <c r="X5"/>
  <c r="W5"/>
  <c r="V5"/>
  <c r="U5"/>
  <c r="T5"/>
  <c r="S5"/>
  <c r="R5"/>
  <c r="C5"/>
  <c r="N5"/>
  <c r="H14" i="3"/>
  <c r="G14"/>
  <c r="H12"/>
  <c r="G12"/>
  <c r="AH83" i="2"/>
  <c r="AH79"/>
  <c r="P79"/>
  <c r="O79"/>
  <c r="N79"/>
  <c r="M79"/>
  <c r="L79"/>
  <c r="K79"/>
  <c r="J79"/>
  <c r="I79"/>
  <c r="H79"/>
  <c r="G79"/>
  <c r="F79"/>
  <c r="E79"/>
  <c r="D79"/>
  <c r="AH78"/>
  <c r="AH80"/>
  <c r="AG78"/>
  <c r="O78"/>
  <c r="N78"/>
  <c r="M78"/>
  <c r="L78"/>
  <c r="K78"/>
  <c r="J78"/>
  <c r="I78"/>
  <c r="H78"/>
  <c r="G78"/>
  <c r="F78"/>
  <c r="E78"/>
  <c r="D78"/>
  <c r="AH77"/>
  <c r="AA75"/>
  <c r="Z72"/>
  <c r="Y69"/>
  <c r="X66"/>
  <c r="W63"/>
  <c r="V60"/>
  <c r="U57"/>
  <c r="T54"/>
  <c r="S51"/>
  <c r="R48"/>
  <c r="Q45"/>
  <c r="P42"/>
  <c r="AI40"/>
  <c r="AH40"/>
  <c r="AG40"/>
  <c r="D40"/>
  <c r="C7" i="9"/>
  <c r="AG39" i="2"/>
  <c r="AG83"/>
  <c r="AF39"/>
  <c r="AF83"/>
  <c r="AA36"/>
  <c r="O36"/>
  <c r="Z33"/>
  <c r="N33"/>
  <c r="Y30"/>
  <c r="M30"/>
  <c r="X27"/>
  <c r="L27"/>
  <c r="W24"/>
  <c r="K24"/>
  <c r="V21"/>
  <c r="J21"/>
  <c r="U18"/>
  <c r="I18"/>
  <c r="T15"/>
  <c r="H15"/>
  <c r="S12"/>
  <c r="G12"/>
  <c r="B10"/>
  <c r="R9"/>
  <c r="G3" i="1"/>
  <c r="F9" i="2"/>
  <c r="B9"/>
  <c r="Q6"/>
  <c r="E6"/>
  <c r="P3"/>
  <c r="D3"/>
  <c r="D22" i="1"/>
  <c r="C22"/>
  <c r="B22"/>
  <c r="C14" i="18"/>
  <c r="B16"/>
  <c r="C13"/>
  <c r="B14"/>
  <c r="B13"/>
  <c r="B17"/>
  <c r="N6" i="4"/>
  <c r="I6"/>
  <c r="I12"/>
  <c r="AA14"/>
  <c r="AA15"/>
  <c r="X11" i="9"/>
  <c r="J6" i="4"/>
  <c r="I14" i="3"/>
  <c r="L5" i="4"/>
  <c r="H12"/>
  <c r="M13"/>
  <c r="Z14"/>
  <c r="Z15"/>
  <c r="W11" i="9"/>
  <c r="G4" i="1"/>
  <c r="D5" i="4"/>
  <c r="E6"/>
  <c r="H13"/>
  <c r="R10" i="2"/>
  <c r="S11"/>
  <c r="Z34"/>
  <c r="AA35"/>
  <c r="K11" i="4"/>
  <c r="L13"/>
  <c r="P4" i="2"/>
  <c r="Q7"/>
  <c r="S13"/>
  <c r="T14"/>
  <c r="U19"/>
  <c r="V20"/>
  <c r="E5" i="4"/>
  <c r="M5"/>
  <c r="F6"/>
  <c r="L6"/>
  <c r="S15"/>
  <c r="P11" i="9"/>
  <c r="Q26"/>
  <c r="G11" i="4"/>
  <c r="O11"/>
  <c r="L12"/>
  <c r="I13"/>
  <c r="N13"/>
  <c r="W14"/>
  <c r="W15"/>
  <c r="T11" i="9"/>
  <c r="AA56"/>
  <c r="B3" i="14"/>
  <c r="L11" i="4"/>
  <c r="X28" i="2"/>
  <c r="Y29"/>
  <c r="I5" i="4"/>
  <c r="I12" i="3"/>
  <c r="H5" i="4"/>
  <c r="H6"/>
  <c r="M6"/>
  <c r="H11"/>
  <c r="M12"/>
  <c r="J13"/>
  <c r="J22" i="2"/>
  <c r="K23"/>
  <c r="G13"/>
  <c r="H14"/>
  <c r="H8"/>
  <c r="I19"/>
  <c r="J20"/>
  <c r="D4"/>
  <c r="E5"/>
  <c r="E40"/>
  <c r="E7"/>
  <c r="E39"/>
  <c r="D6" i="9"/>
  <c r="H16" i="2"/>
  <c r="I17"/>
  <c r="T6" i="6"/>
  <c r="T7"/>
  <c r="O6"/>
  <c r="O7"/>
  <c r="Y27" i="9"/>
  <c r="Y13" i="8"/>
  <c r="Y28" i="9"/>
  <c r="Z26"/>
  <c r="Q5" i="2"/>
  <c r="R8"/>
  <c r="S6" i="6"/>
  <c r="S7"/>
  <c r="AC73" i="2"/>
  <c r="AD74"/>
  <c r="Y61"/>
  <c r="Z62"/>
  <c r="U49"/>
  <c r="V50"/>
  <c r="Y70"/>
  <c r="Z71"/>
  <c r="U58"/>
  <c r="V59"/>
  <c r="Q46"/>
  <c r="L7" i="4"/>
  <c r="H7"/>
  <c r="D7"/>
  <c r="M7"/>
  <c r="I7"/>
  <c r="E7"/>
  <c r="G14" i="7"/>
  <c r="H14"/>
  <c r="J14"/>
  <c r="U13" i="2"/>
  <c r="V14"/>
  <c r="W19"/>
  <c r="X20"/>
  <c r="F3" i="1"/>
  <c r="F4" i="2"/>
  <c r="F8"/>
  <c r="F40"/>
  <c r="F81"/>
  <c r="B11"/>
  <c r="J16"/>
  <c r="K17"/>
  <c r="R4"/>
  <c r="G7"/>
  <c r="H10"/>
  <c r="I11"/>
  <c r="V16"/>
  <c r="W17"/>
  <c r="S7"/>
  <c r="F10"/>
  <c r="G11"/>
  <c r="T10"/>
  <c r="U11"/>
  <c r="I13"/>
  <c r="J14"/>
  <c r="T16"/>
  <c r="U17"/>
  <c r="K19"/>
  <c r="L20"/>
  <c r="L22"/>
  <c r="M23"/>
  <c r="L28"/>
  <c r="M29"/>
  <c r="Z28"/>
  <c r="AA29"/>
  <c r="N34"/>
  <c r="O35"/>
  <c r="AB34"/>
  <c r="AC35"/>
  <c r="T46"/>
  <c r="T55"/>
  <c r="U56"/>
  <c r="W64"/>
  <c r="X65"/>
  <c r="AB70"/>
  <c r="AC71"/>
  <c r="AH84"/>
  <c r="R15" i="4"/>
  <c r="O11" i="9"/>
  <c r="V15" i="4"/>
  <c r="S11" i="9"/>
  <c r="AD5" i="4"/>
  <c r="K7"/>
  <c r="D8"/>
  <c r="D10"/>
  <c r="K25" i="5"/>
  <c r="L25"/>
  <c r="N10" i="6"/>
  <c r="H25" i="5"/>
  <c r="AG80" i="2"/>
  <c r="AG84"/>
  <c r="M8" i="4"/>
  <c r="I8"/>
  <c r="E8"/>
  <c r="N8"/>
  <c r="J8"/>
  <c r="F8"/>
  <c r="M10"/>
  <c r="I10"/>
  <c r="E10"/>
  <c r="N10"/>
  <c r="J10"/>
  <c r="F10"/>
  <c r="C28" i="5"/>
  <c r="C12" i="13"/>
  <c r="C15"/>
  <c r="C42" i="9"/>
  <c r="C15" i="8"/>
  <c r="D29" i="9"/>
  <c r="X22" i="2"/>
  <c r="Y23"/>
  <c r="M25"/>
  <c r="N26"/>
  <c r="O31"/>
  <c r="P32"/>
  <c r="Q37"/>
  <c r="R38"/>
  <c r="V52"/>
  <c r="W53"/>
  <c r="V61"/>
  <c r="W62"/>
  <c r="AA67"/>
  <c r="AB68"/>
  <c r="AD76"/>
  <c r="AE77"/>
  <c r="K8" i="4"/>
  <c r="K10"/>
  <c r="S10" i="6"/>
  <c r="V22" i="2"/>
  <c r="W23"/>
  <c r="K25"/>
  <c r="L26"/>
  <c r="Y25"/>
  <c r="Z26"/>
  <c r="M31"/>
  <c r="N32"/>
  <c r="AA31"/>
  <c r="AB32"/>
  <c r="O37"/>
  <c r="P38"/>
  <c r="AC37"/>
  <c r="AD38"/>
  <c r="S43"/>
  <c r="S52"/>
  <c r="T53"/>
  <c r="X58"/>
  <c r="Y59"/>
  <c r="X67"/>
  <c r="Y68"/>
  <c r="AA76"/>
  <c r="AB77"/>
  <c r="AH81"/>
  <c r="D81"/>
  <c r="G7" i="4"/>
  <c r="O7"/>
  <c r="H8"/>
  <c r="H10"/>
  <c r="AD11"/>
  <c r="R5" i="6"/>
  <c r="L11" i="5"/>
  <c r="G10" i="6"/>
  <c r="R10"/>
  <c r="V20" i="5"/>
  <c r="T10" i="6"/>
  <c r="P24" i="5"/>
  <c r="V24"/>
  <c r="M27"/>
  <c r="R25"/>
  <c r="M35"/>
  <c r="G5" i="13"/>
  <c r="Q6" i="6"/>
  <c r="Q7"/>
  <c r="M14"/>
  <c r="M16"/>
  <c r="C7" i="8"/>
  <c r="D8"/>
  <c r="D9"/>
  <c r="S24" i="5"/>
  <c r="U10"/>
  <c r="U25"/>
  <c r="V25"/>
  <c r="M28"/>
  <c r="G16" i="6"/>
  <c r="H16"/>
  <c r="D16"/>
  <c r="W25" i="2"/>
  <c r="X26"/>
  <c r="N28"/>
  <c r="O29"/>
  <c r="Y31"/>
  <c r="Z32"/>
  <c r="P34"/>
  <c r="Q35"/>
  <c r="AA37"/>
  <c r="AB38"/>
  <c r="P43"/>
  <c r="R49"/>
  <c r="W55"/>
  <c r="X56"/>
  <c r="Z64"/>
  <c r="AA65"/>
  <c r="Z73"/>
  <c r="AA74"/>
  <c r="F7" i="4"/>
  <c r="N7"/>
  <c r="G8"/>
  <c r="O8"/>
  <c r="G10"/>
  <c r="O10"/>
  <c r="L6" i="5"/>
  <c r="I10" i="6"/>
  <c r="J10"/>
  <c r="L22" i="5"/>
  <c r="C35"/>
  <c r="D5" i="13"/>
  <c r="P6" i="6"/>
  <c r="P7"/>
  <c r="I16"/>
  <c r="G13" i="7"/>
  <c r="H13"/>
  <c r="J13"/>
  <c r="G5" i="4"/>
  <c r="K5"/>
  <c r="O5"/>
  <c r="J11"/>
  <c r="N11"/>
  <c r="K12"/>
  <c r="O12"/>
  <c r="U14"/>
  <c r="U15"/>
  <c r="R11" i="9"/>
  <c r="Y14" i="4"/>
  <c r="Y15"/>
  <c r="V11" i="9"/>
  <c r="AC14" i="4"/>
  <c r="AC15"/>
  <c r="Z11" i="9"/>
  <c r="E5" i="13"/>
  <c r="C25"/>
  <c r="G15" i="7"/>
  <c r="H15"/>
  <c r="J15"/>
  <c r="F5" i="4"/>
  <c r="J5"/>
  <c r="G6"/>
  <c r="K6"/>
  <c r="I11"/>
  <c r="J12"/>
  <c r="K13"/>
  <c r="T14"/>
  <c r="X14"/>
  <c r="X15"/>
  <c r="U11" i="9"/>
  <c r="D17" i="7"/>
  <c r="B9" i="9"/>
  <c r="E46"/>
  <c r="E48"/>
  <c r="E49"/>
  <c r="I46"/>
  <c r="I48"/>
  <c r="I49"/>
  <c r="M46"/>
  <c r="M48"/>
  <c r="M49"/>
  <c r="Q46"/>
  <c r="U46"/>
  <c r="Y46"/>
  <c r="F56"/>
  <c r="J56"/>
  <c r="N56"/>
  <c r="R56"/>
  <c r="V56"/>
  <c r="Z56"/>
  <c r="F4" i="12"/>
  <c r="D3" i="15"/>
  <c r="D46" i="9"/>
  <c r="D48"/>
  <c r="D49"/>
  <c r="H46"/>
  <c r="H48"/>
  <c r="H49"/>
  <c r="L46"/>
  <c r="L48"/>
  <c r="L49"/>
  <c r="P46"/>
  <c r="T46"/>
  <c r="X46"/>
  <c r="AB46"/>
  <c r="AB48"/>
  <c r="AB49"/>
  <c r="E56"/>
  <c r="I56"/>
  <c r="M56"/>
  <c r="Q56"/>
  <c r="U56"/>
  <c r="Y56"/>
  <c r="C46"/>
  <c r="G46"/>
  <c r="G48"/>
  <c r="G49"/>
  <c r="K46"/>
  <c r="K48"/>
  <c r="K49"/>
  <c r="O46"/>
  <c r="S46"/>
  <c r="W46"/>
  <c r="AA46"/>
  <c r="AA48"/>
  <c r="AA49"/>
  <c r="D56"/>
  <c r="H56"/>
  <c r="L56"/>
  <c r="P56"/>
  <c r="T56"/>
  <c r="X56"/>
  <c r="AB56"/>
  <c r="D4" i="12"/>
  <c r="C38" i="9"/>
  <c r="C40"/>
  <c r="F46"/>
  <c r="F48"/>
  <c r="F49"/>
  <c r="J46"/>
  <c r="J48"/>
  <c r="J49"/>
  <c r="N46"/>
  <c r="N49"/>
  <c r="R46"/>
  <c r="V46"/>
  <c r="Z46"/>
  <c r="C56"/>
  <c r="G56"/>
  <c r="K56"/>
  <c r="O56"/>
  <c r="S56"/>
  <c r="W56"/>
  <c r="C4" i="12"/>
  <c r="E15" i="4"/>
  <c r="D11" i="9"/>
  <c r="E26"/>
  <c r="X27"/>
  <c r="X13" i="8"/>
  <c r="Y26" i="9"/>
  <c r="X28"/>
  <c r="P11" i="4"/>
  <c r="H5" i="6"/>
  <c r="H7"/>
  <c r="P12" i="4"/>
  <c r="I5" i="6"/>
  <c r="I6"/>
  <c r="I7"/>
  <c r="P13" i="4"/>
  <c r="J5" i="6"/>
  <c r="J6"/>
  <c r="J7"/>
  <c r="U26" i="9"/>
  <c r="T27"/>
  <c r="T13" i="8"/>
  <c r="T28" i="9"/>
  <c r="P6" i="4"/>
  <c r="F5" i="6"/>
  <c r="F6"/>
  <c r="F7"/>
  <c r="P28" i="9"/>
  <c r="P27"/>
  <c r="P13" i="8"/>
  <c r="AD14" i="4"/>
  <c r="AD15"/>
  <c r="G17" i="7"/>
  <c r="C48" i="9"/>
  <c r="C49"/>
  <c r="G39" i="2"/>
  <c r="F6" i="9"/>
  <c r="D4" i="8"/>
  <c r="D5"/>
  <c r="D39" i="2"/>
  <c r="C4" i="8"/>
  <c r="C5"/>
  <c r="C6"/>
  <c r="H40" i="2"/>
  <c r="E80"/>
  <c r="H6" i="6"/>
  <c r="R28" i="9"/>
  <c r="R27"/>
  <c r="R13" i="8"/>
  <c r="S26" i="9"/>
  <c r="G12" i="13"/>
  <c r="G25"/>
  <c r="G15"/>
  <c r="D43" i="11"/>
  <c r="M10" i="6"/>
  <c r="R6"/>
  <c r="R7"/>
  <c r="D12" i="13"/>
  <c r="C43" i="11"/>
  <c r="D15" i="13"/>
  <c r="B10" i="6"/>
  <c r="N5"/>
  <c r="S5" i="2"/>
  <c r="F15" i="4"/>
  <c r="E11" i="9"/>
  <c r="P5" i="4"/>
  <c r="O42" i="9"/>
  <c r="F15" i="13"/>
  <c r="F12"/>
  <c r="F25"/>
  <c r="O15" i="8"/>
  <c r="Z28" i="9"/>
  <c r="Z27"/>
  <c r="Z13" i="8"/>
  <c r="AA26" i="9"/>
  <c r="F32" i="12"/>
  <c r="B33" i="14"/>
  <c r="AB9" i="9"/>
  <c r="S78" i="2"/>
  <c r="T44"/>
  <c r="T79"/>
  <c r="T26" i="9"/>
  <c r="S28"/>
  <c r="S27"/>
  <c r="S13" i="8"/>
  <c r="AF76" i="2"/>
  <c r="AB64"/>
  <c r="X52"/>
  <c r="AD70"/>
  <c r="V46"/>
  <c r="AD34"/>
  <c r="AB28"/>
  <c r="AE73"/>
  <c r="Y55"/>
  <c r="W49"/>
  <c r="R34"/>
  <c r="S35"/>
  <c r="P28"/>
  <c r="Z58"/>
  <c r="U43"/>
  <c r="AE37"/>
  <c r="AC31"/>
  <c r="AA25"/>
  <c r="AC67"/>
  <c r="AA61"/>
  <c r="S37"/>
  <c r="T38"/>
  <c r="Q31"/>
  <c r="O25"/>
  <c r="Z22"/>
  <c r="Y19"/>
  <c r="W13"/>
  <c r="J8"/>
  <c r="J40"/>
  <c r="N22"/>
  <c r="M19"/>
  <c r="K13"/>
  <c r="V10"/>
  <c r="U7"/>
  <c r="X16"/>
  <c r="J10"/>
  <c r="I7"/>
  <c r="I39"/>
  <c r="T4"/>
  <c r="L16"/>
  <c r="H4"/>
  <c r="R47"/>
  <c r="R79"/>
  <c r="Q78"/>
  <c r="D7" i="8"/>
  <c r="E8"/>
  <c r="E81" i="2"/>
  <c r="D7" i="9"/>
  <c r="D27" i="12"/>
  <c r="A59" i="9"/>
  <c r="T15" i="4"/>
  <c r="Q11" i="9"/>
  <c r="G15" i="4"/>
  <c r="F11" i="9"/>
  <c r="D10" i="6"/>
  <c r="L10"/>
  <c r="E12" i="13"/>
  <c r="H12"/>
  <c r="V10" i="5"/>
  <c r="O10" i="6"/>
  <c r="U10"/>
  <c r="P8" i="4"/>
  <c r="S50" i="2"/>
  <c r="S79"/>
  <c r="R78"/>
  <c r="U47"/>
  <c r="U79"/>
  <c r="T78"/>
  <c r="T8"/>
  <c r="F39"/>
  <c r="G5"/>
  <c r="G40"/>
  <c r="V28" i="9"/>
  <c r="V27"/>
  <c r="V13" i="8"/>
  <c r="W26" i="9"/>
  <c r="U27"/>
  <c r="U13" i="8"/>
  <c r="V26" i="9"/>
  <c r="U28"/>
  <c r="H5" i="13"/>
  <c r="T16" i="6"/>
  <c r="P16"/>
  <c r="Q16"/>
  <c r="R16"/>
  <c r="S16"/>
  <c r="N16"/>
  <c r="U16"/>
  <c r="O16"/>
  <c r="P26" i="9"/>
  <c r="O28"/>
  <c r="O27"/>
  <c r="O13" i="8"/>
  <c r="E7" i="9"/>
  <c r="E7" i="8"/>
  <c r="F8"/>
  <c r="P78" i="2"/>
  <c r="Q44"/>
  <c r="Q79"/>
  <c r="X26" i="9"/>
  <c r="W28"/>
  <c r="W27"/>
  <c r="W13" i="8"/>
  <c r="J17" i="7"/>
  <c r="B10" i="9"/>
  <c r="C54" i="11"/>
  <c r="D54"/>
  <c r="D25" i="13"/>
  <c r="L16" i="6"/>
  <c r="E15" i="13"/>
  <c r="H15"/>
  <c r="P10" i="4"/>
  <c r="G5" i="6"/>
  <c r="P7" i="4"/>
  <c r="D15"/>
  <c r="C11" i="9"/>
  <c r="D27"/>
  <c r="D13" i="8"/>
  <c r="D28" i="9"/>
  <c r="D32" i="12"/>
  <c r="B14" i="14"/>
  <c r="G80" i="2"/>
  <c r="F4" i="8"/>
  <c r="F5"/>
  <c r="D6"/>
  <c r="C6" i="9"/>
  <c r="T40" i="2"/>
  <c r="T81"/>
  <c r="D80"/>
  <c r="S39"/>
  <c r="R4" i="8"/>
  <c r="R5"/>
  <c r="H81" i="2"/>
  <c r="G7" i="9"/>
  <c r="G7" i="8"/>
  <c r="H8"/>
  <c r="F15" i="1"/>
  <c r="Q84" i="2"/>
  <c r="N39"/>
  <c r="O23"/>
  <c r="O40"/>
  <c r="AA78"/>
  <c r="AB62"/>
  <c r="AB79"/>
  <c r="AB39"/>
  <c r="AC29"/>
  <c r="AC40"/>
  <c r="P84"/>
  <c r="F28" i="9"/>
  <c r="F27"/>
  <c r="F13" i="8"/>
  <c r="G26" i="9"/>
  <c r="L39" i="2"/>
  <c r="M17"/>
  <c r="M40"/>
  <c r="X39"/>
  <c r="Y17"/>
  <c r="Y40"/>
  <c r="M39"/>
  <c r="N20"/>
  <c r="N40"/>
  <c r="Y39"/>
  <c r="Z20"/>
  <c r="Z40"/>
  <c r="AD32"/>
  <c r="AD40"/>
  <c r="AC39"/>
  <c r="Q29"/>
  <c r="Q40"/>
  <c r="Q81"/>
  <c r="P80"/>
  <c r="AE78"/>
  <c r="AF74"/>
  <c r="AF79"/>
  <c r="AD78"/>
  <c r="AE71"/>
  <c r="AE79"/>
  <c r="S84"/>
  <c r="D5" i="6"/>
  <c r="E5"/>
  <c r="D26" i="9"/>
  <c r="C28"/>
  <c r="C27"/>
  <c r="C13" i="8"/>
  <c r="G15" i="1"/>
  <c r="O26" i="9"/>
  <c r="E6"/>
  <c r="E4" i="8"/>
  <c r="E5"/>
  <c r="F80" i="2"/>
  <c r="R84"/>
  <c r="H39"/>
  <c r="I5"/>
  <c r="J39"/>
  <c r="K11"/>
  <c r="K40"/>
  <c r="K39"/>
  <c r="L14"/>
  <c r="L40"/>
  <c r="W39"/>
  <c r="X14"/>
  <c r="X40"/>
  <c r="R32"/>
  <c r="R40"/>
  <c r="R81"/>
  <c r="Q39"/>
  <c r="AA39"/>
  <c r="AB26"/>
  <c r="AB40"/>
  <c r="AA59"/>
  <c r="AA79"/>
  <c r="Z78"/>
  <c r="Y78"/>
  <c r="Z56"/>
  <c r="Z79"/>
  <c r="V78"/>
  <c r="W47"/>
  <c r="W79"/>
  <c r="AF78"/>
  <c r="AG77"/>
  <c r="AG79"/>
  <c r="AG81"/>
  <c r="D30" i="12"/>
  <c r="B12" i="14"/>
  <c r="R39" i="2"/>
  <c r="R80"/>
  <c r="E25" i="13"/>
  <c r="B6" i="14"/>
  <c r="S40" i="2"/>
  <c r="S81"/>
  <c r="G6" i="6"/>
  <c r="G7"/>
  <c r="Q27" i="9"/>
  <c r="Q13" i="8"/>
  <c r="Q28" i="9"/>
  <c r="R26"/>
  <c r="B5" i="14"/>
  <c r="F27" i="12"/>
  <c r="T39" i="2"/>
  <c r="T80"/>
  <c r="U5"/>
  <c r="U40"/>
  <c r="U39"/>
  <c r="V8"/>
  <c r="V40"/>
  <c r="AA23"/>
  <c r="AA40"/>
  <c r="Z39"/>
  <c r="AE39"/>
  <c r="AE83"/>
  <c r="AF38"/>
  <c r="AF40"/>
  <c r="X78"/>
  <c r="Y53"/>
  <c r="Y79"/>
  <c r="E27" i="9"/>
  <c r="E13" i="8"/>
  <c r="F26" i="9"/>
  <c r="E28"/>
  <c r="N6" i="6"/>
  <c r="U6"/>
  <c r="U5"/>
  <c r="N7"/>
  <c r="Z17" i="8"/>
  <c r="AA18"/>
  <c r="AB10" i="9"/>
  <c r="AB17" i="8"/>
  <c r="F7" i="9"/>
  <c r="F7" i="8"/>
  <c r="G8"/>
  <c r="G81" i="2"/>
  <c r="T84"/>
  <c r="H6" i="9"/>
  <c r="H4" i="8"/>
  <c r="H5"/>
  <c r="I80" i="2"/>
  <c r="V39"/>
  <c r="W11"/>
  <c r="W40"/>
  <c r="I7" i="9"/>
  <c r="I7" i="8"/>
  <c r="J8"/>
  <c r="J81" i="2"/>
  <c r="O39"/>
  <c r="P26"/>
  <c r="AC78"/>
  <c r="AD68"/>
  <c r="AD79"/>
  <c r="U78"/>
  <c r="V44"/>
  <c r="V79"/>
  <c r="W78"/>
  <c r="X50"/>
  <c r="X79"/>
  <c r="AE35"/>
  <c r="AE40"/>
  <c r="AD39"/>
  <c r="AD83"/>
  <c r="AB78"/>
  <c r="AC65"/>
  <c r="AC79"/>
  <c r="F30" i="12"/>
  <c r="B31" i="14"/>
  <c r="D34" i="11"/>
  <c r="M5" i="6"/>
  <c r="H25" i="13"/>
  <c r="X81" i="2"/>
  <c r="W81"/>
  <c r="AB81"/>
  <c r="AC81"/>
  <c r="AD81"/>
  <c r="AE81"/>
  <c r="E6" i="8"/>
  <c r="F6"/>
  <c r="S83" i="2"/>
  <c r="T8" i="8"/>
  <c r="S80" i="2"/>
  <c r="AB84"/>
  <c r="AB80"/>
  <c r="AC80"/>
  <c r="AC84"/>
  <c r="P5" i="8"/>
  <c r="Q83" i="2"/>
  <c r="L5" i="6"/>
  <c r="D6"/>
  <c r="D7"/>
  <c r="AB26" i="9"/>
  <c r="AA17" i="8"/>
  <c r="AB18"/>
  <c r="U4"/>
  <c r="U5"/>
  <c r="V83" i="2"/>
  <c r="AA8" i="8"/>
  <c r="S8"/>
  <c r="Y80" i="2"/>
  <c r="Y84"/>
  <c r="V4" i="8"/>
  <c r="V5"/>
  <c r="W83" i="2"/>
  <c r="Z8" i="8"/>
  <c r="B25" i="14"/>
  <c r="M9" i="6"/>
  <c r="M7"/>
  <c r="M8"/>
  <c r="M6"/>
  <c r="N4" i="8"/>
  <c r="N5"/>
  <c r="N6" i="9"/>
  <c r="O80" i="2"/>
  <c r="P8" i="8"/>
  <c r="P81" i="2"/>
  <c r="T4" i="8"/>
  <c r="T5"/>
  <c r="U83" i="2"/>
  <c r="B24" i="14"/>
  <c r="V80" i="2"/>
  <c r="V84"/>
  <c r="R8" i="8"/>
  <c r="J4"/>
  <c r="J5"/>
  <c r="J6" i="9"/>
  <c r="K80" i="2"/>
  <c r="G4" i="8"/>
  <c r="G5"/>
  <c r="G6" i="9"/>
  <c r="H80" i="2"/>
  <c r="AB4" i="8"/>
  <c r="AB5"/>
  <c r="AC83" i="2"/>
  <c r="M7" i="9"/>
  <c r="M7" i="8"/>
  <c r="N8"/>
  <c r="N81" i="2"/>
  <c r="L7" i="8"/>
  <c r="M8"/>
  <c r="L7" i="9"/>
  <c r="M81" i="2"/>
  <c r="N7" i="8"/>
  <c r="O8"/>
  <c r="O81" i="2"/>
  <c r="B23"/>
  <c r="B22"/>
  <c r="V81"/>
  <c r="AA81"/>
  <c r="AF81"/>
  <c r="D35" i="11"/>
  <c r="D27"/>
  <c r="D13"/>
  <c r="W84" i="2"/>
  <c r="W80"/>
  <c r="N8" i="6"/>
  <c r="U7"/>
  <c r="V8" i="8"/>
  <c r="Z80" i="2"/>
  <c r="Z84"/>
  <c r="K7" i="9"/>
  <c r="L81" i="2"/>
  <c r="K7" i="8"/>
  <c r="L8"/>
  <c r="I40" i="2"/>
  <c r="B21"/>
  <c r="AD80"/>
  <c r="AD84"/>
  <c r="Q8" i="8"/>
  <c r="Y83" i="2"/>
  <c r="X4" i="8"/>
  <c r="X5"/>
  <c r="W4"/>
  <c r="W5"/>
  <c r="X83" i="2"/>
  <c r="AA84"/>
  <c r="AA80"/>
  <c r="X84"/>
  <c r="X80"/>
  <c r="S4" i="8"/>
  <c r="S5"/>
  <c r="T83" i="2"/>
  <c r="AF84"/>
  <c r="AF80"/>
  <c r="Z4" i="8"/>
  <c r="Z5"/>
  <c r="AA83" i="2"/>
  <c r="I6" i="9"/>
  <c r="I4" i="8"/>
  <c r="I5"/>
  <c r="J80" i="2"/>
  <c r="E6" i="6"/>
  <c r="E7"/>
  <c r="O4" i="8"/>
  <c r="O5"/>
  <c r="O6"/>
  <c r="P83" i="2"/>
  <c r="Y8" i="8"/>
  <c r="U80" i="2"/>
  <c r="U84"/>
  <c r="W8" i="8"/>
  <c r="Z83" i="2"/>
  <c r="Y4" i="8"/>
  <c r="Y5"/>
  <c r="U8"/>
  <c r="Q5"/>
  <c r="R83" i="2"/>
  <c r="AB8" i="8"/>
  <c r="X8"/>
  <c r="J7" i="9"/>
  <c r="J7" i="8"/>
  <c r="K8"/>
  <c r="K81" i="2"/>
  <c r="AE84"/>
  <c r="AE80"/>
  <c r="L6" i="9"/>
  <c r="L4" i="8"/>
  <c r="L5"/>
  <c r="M80" i="2"/>
  <c r="K4" i="8"/>
  <c r="K5"/>
  <c r="K6" i="9"/>
  <c r="L80" i="2"/>
  <c r="AA4" i="8"/>
  <c r="AA5"/>
  <c r="AA6"/>
  <c r="AB83" i="2"/>
  <c r="M6" i="9"/>
  <c r="M4" i="8"/>
  <c r="M5"/>
  <c r="N80" i="2"/>
  <c r="Q80"/>
  <c r="C30" i="9"/>
  <c r="Y81" i="2"/>
  <c r="U81"/>
  <c r="Z81"/>
  <c r="P6" i="8"/>
  <c r="AB6"/>
  <c r="G6"/>
  <c r="H6"/>
  <c r="I6"/>
  <c r="J6"/>
  <c r="K6"/>
  <c r="L6"/>
  <c r="M6"/>
  <c r="N6"/>
  <c r="G86" i="2"/>
  <c r="Q6" i="8"/>
  <c r="R6"/>
  <c r="S6"/>
  <c r="T6"/>
  <c r="U6"/>
  <c r="V6"/>
  <c r="W6"/>
  <c r="X6"/>
  <c r="Y6"/>
  <c r="Z6"/>
  <c r="C7" i="10"/>
  <c r="E2" i="14"/>
  <c r="E4"/>
  <c r="D47" i="11"/>
  <c r="D11"/>
  <c r="G5" i="1"/>
  <c r="Q8" i="6"/>
  <c r="S8"/>
  <c r="O8"/>
  <c r="P8"/>
  <c r="T8"/>
  <c r="R8"/>
  <c r="C11" i="11"/>
  <c r="C47"/>
  <c r="F5" i="1"/>
  <c r="N9" i="6"/>
  <c r="D86" i="2"/>
  <c r="D7" i="10"/>
  <c r="D48" i="11"/>
  <c r="G6" i="1"/>
  <c r="H7" i="8"/>
  <c r="I8"/>
  <c r="H7" i="9"/>
  <c r="I81" i="2"/>
  <c r="D90"/>
  <c r="P9" i="6"/>
  <c r="T9"/>
  <c r="S9"/>
  <c r="O9"/>
  <c r="Q9"/>
  <c r="R9"/>
  <c r="AB30" i="9"/>
  <c r="N11" i="6"/>
  <c r="L6"/>
  <c r="L7"/>
  <c r="G87" i="2"/>
  <c r="M11" i="6"/>
  <c r="B11"/>
  <c r="N18"/>
  <c r="E35" i="13"/>
  <c r="P11" i="6"/>
  <c r="U8"/>
  <c r="T11"/>
  <c r="Q11"/>
  <c r="U9"/>
  <c r="R11"/>
  <c r="S11"/>
  <c r="O11"/>
  <c r="D10" i="11"/>
  <c r="D9"/>
  <c r="D49"/>
  <c r="G9" i="1"/>
  <c r="F9"/>
  <c r="O18" i="6"/>
  <c r="T18"/>
  <c r="P18"/>
  <c r="R18"/>
  <c r="Q18"/>
  <c r="S18"/>
  <c r="L8"/>
  <c r="H35" i="13"/>
  <c r="B10" i="14"/>
  <c r="L9" i="6"/>
  <c r="U11"/>
  <c r="L11"/>
  <c r="U18"/>
  <c r="O19"/>
  <c r="P19"/>
  <c r="P20"/>
  <c r="R19"/>
  <c r="Q19"/>
  <c r="S19"/>
  <c r="T19"/>
  <c r="Q20"/>
  <c r="S20"/>
  <c r="S22"/>
  <c r="S24"/>
  <c r="E6" i="7"/>
  <c r="R20" i="6"/>
  <c r="R22"/>
  <c r="R24"/>
  <c r="E5" i="7"/>
  <c r="T20" i="6"/>
  <c r="L18"/>
  <c r="T22"/>
  <c r="T24"/>
  <c r="E7" i="7"/>
  <c r="Q22" i="6"/>
  <c r="H6" i="7"/>
  <c r="J6"/>
  <c r="G6"/>
  <c r="G5"/>
  <c r="H5"/>
  <c r="J5"/>
  <c r="G7"/>
  <c r="H7"/>
  <c r="J7"/>
  <c r="U22" i="6"/>
  <c r="Q24"/>
  <c r="E4" i="7"/>
  <c r="G4"/>
  <c r="G9"/>
  <c r="G18"/>
  <c r="F3" i="3"/>
  <c r="H4" i="7"/>
  <c r="J4"/>
  <c r="J9"/>
  <c r="J18"/>
  <c r="F10" i="3"/>
  <c r="H15"/>
  <c r="H11"/>
  <c r="G13"/>
  <c r="I13"/>
  <c r="H13"/>
  <c r="G15"/>
  <c r="I15"/>
  <c r="G11"/>
  <c r="I11"/>
  <c r="L22" i="6"/>
  <c r="H7" i="3"/>
  <c r="H5"/>
  <c r="I6"/>
  <c r="G4"/>
  <c r="G5"/>
  <c r="H4"/>
  <c r="G7"/>
  <c r="I7"/>
  <c r="H6"/>
  <c r="I4"/>
  <c r="I5"/>
  <c r="I16"/>
  <c r="I8"/>
  <c r="I9"/>
  <c r="D15" i="10"/>
  <c r="D34"/>
  <c r="G8" i="1"/>
  <c r="I17" i="3"/>
  <c r="E9"/>
  <c r="D36" i="10"/>
  <c r="H30" i="13"/>
  <c r="B28" i="14"/>
  <c r="I19" i="3"/>
  <c r="F8" i="1"/>
  <c r="F14"/>
  <c r="E28" i="13"/>
  <c r="B9" i="14"/>
  <c r="F13" i="1"/>
  <c r="N10" i="8"/>
  <c r="B11" i="14"/>
  <c r="C73" i="11"/>
  <c r="B15" i="14"/>
  <c r="D34" i="12"/>
  <c r="D31"/>
  <c r="B13" i="14"/>
  <c r="B16"/>
  <c r="F19" i="1"/>
  <c r="F10"/>
  <c r="F12"/>
  <c r="F17"/>
  <c r="B4" i="14"/>
  <c r="B7"/>
  <c r="F18" i="1"/>
  <c r="E8" i="14"/>
  <c r="E9"/>
  <c r="O31" i="9"/>
  <c r="B17" i="14"/>
  <c r="F16" i="1"/>
  <c r="E6" i="14"/>
  <c r="E7"/>
  <c r="E13"/>
  <c r="AA55" i="9"/>
  <c r="G14" i="1"/>
  <c r="G13"/>
  <c r="F31" i="12"/>
  <c r="G10" i="1"/>
  <c r="D73" i="11"/>
  <c r="Z20" i="8"/>
  <c r="H36" i="13"/>
  <c r="H34"/>
  <c r="B29" i="14"/>
  <c r="B32"/>
  <c r="F34" i="12"/>
  <c r="F37"/>
  <c r="B30" i="14"/>
  <c r="B23"/>
  <c r="AA9" i="8"/>
  <c r="AA19"/>
  <c r="B34" i="14"/>
  <c r="B35"/>
  <c r="E10"/>
  <c r="E11"/>
  <c r="AB55" i="9"/>
  <c r="G17" i="1"/>
  <c r="B22" i="14"/>
  <c r="B26"/>
  <c r="F44" i="12"/>
  <c r="G16" i="1"/>
  <c r="AA21" i="8"/>
  <c r="AB19"/>
  <c r="B36" i="14"/>
  <c r="G19" i="1"/>
  <c r="G18"/>
  <c r="AA51" i="9"/>
  <c r="AA57"/>
  <c r="AB3"/>
  <c r="AB9" i="8"/>
  <c r="AB21"/>
  <c r="AB31" i="9"/>
  <c r="AB34"/>
  <c r="AB51"/>
  <c r="AB57"/>
</calcChain>
</file>

<file path=xl/comments1.xml><?xml version="1.0" encoding="utf-8"?>
<comments xmlns="http://schemas.openxmlformats.org/spreadsheetml/2006/main">
  <authors>
    <author/>
  </authors>
  <commentList>
    <comment ref="E41" authorId="0">
      <text>
        <r>
          <rPr>
            <sz val="10"/>
            <color rgb="FF000000"/>
            <rFont val="Arial"/>
          </rPr>
          <t xml:space="preserve">C'est le solde de début de mois n°13 donc de fin d'exercice.
</t>
        </r>
      </text>
    </comment>
    <comment ref="H41" authorId="0">
      <text>
        <r>
          <rPr>
            <sz val="10"/>
            <color rgb="FF000000"/>
            <rFont val="Arial"/>
          </rPr>
          <t xml:space="preserve">C'est le solde de début de mois n°13 donc de fin d'exercice.
</t>
        </r>
      </text>
    </comment>
  </commentList>
</comments>
</file>

<file path=xl/sharedStrings.xml><?xml version="1.0" encoding="utf-8"?>
<sst xmlns="http://schemas.openxmlformats.org/spreadsheetml/2006/main" count="1175" uniqueCount="708">
  <si>
    <t>PARAMETRES</t>
  </si>
  <si>
    <t>Valeurs A1</t>
  </si>
  <si>
    <t>Valeurs A2</t>
  </si>
  <si>
    <t>RESULTATS</t>
  </si>
  <si>
    <t>Valeurs réf A1</t>
  </si>
  <si>
    <t>Valeurs réf A2</t>
  </si>
  <si>
    <t>Planning des commandes</t>
  </si>
  <si>
    <t>Contrat sans vidéo</t>
  </si>
  <si>
    <t>Contrat avec vidéo</t>
  </si>
  <si>
    <t>Janvier</t>
  </si>
  <si>
    <t>Non</t>
  </si>
  <si>
    <t>Oui</t>
  </si>
  <si>
    <t>Nombre de contrats sans vidéo commandés dans l'exercice</t>
  </si>
  <si>
    <t>Février</t>
  </si>
  <si>
    <t>Nombre de contrats avec vidéo commandés dans l'exercice</t>
  </si>
  <si>
    <t>Mars</t>
  </si>
  <si>
    <t>Nombre de contrats sans vidéo terminés dans l'exercice</t>
  </si>
  <si>
    <t>Avril</t>
  </si>
  <si>
    <t>Nombre de contrats avec vidéo terminés dans l'exercice</t>
  </si>
  <si>
    <t>Mai</t>
  </si>
  <si>
    <t>Juin</t>
  </si>
  <si>
    <t>Total Produits (y compris variations de TEC)</t>
  </si>
  <si>
    <t>Juillet</t>
  </si>
  <si>
    <t>Total Charges</t>
  </si>
  <si>
    <t>Août</t>
  </si>
  <si>
    <t>Résultat d'exploitation avant impôts : BN2</t>
  </si>
  <si>
    <t>Septembre</t>
  </si>
  <si>
    <t>Perte d'exploitation</t>
  </si>
  <si>
    <t>Octobre</t>
  </si>
  <si>
    <t>Solde en banque au 31/12</t>
  </si>
  <si>
    <t>Novembre</t>
  </si>
  <si>
    <t>Montant total des frais financiers</t>
  </si>
  <si>
    <t>Décembre</t>
  </si>
  <si>
    <t>Agios sur découvert</t>
  </si>
  <si>
    <t>Durée de réalisation de chaque commande</t>
  </si>
  <si>
    <t>invariable 4 mois</t>
  </si>
  <si>
    <t>invariable 5 mois</t>
  </si>
  <si>
    <t>Intérêts du prêt pour immobilisations</t>
  </si>
  <si>
    <t>Prix de vente HT du contrat sans vidéo</t>
  </si>
  <si>
    <t>Total Passif</t>
  </si>
  <si>
    <t>Prix de vente HT du contrat avec vidéo</t>
  </si>
  <si>
    <t>Total Actif</t>
  </si>
  <si>
    <t>FR</t>
  </si>
  <si>
    <t>Modalités de règlement clients</t>
  </si>
  <si>
    <t>BFR</t>
  </si>
  <si>
    <t>Facturation de l'acompte à la commande</t>
  </si>
  <si>
    <t>Facturation à 2 mois ou à 3 mois de chaque contrat</t>
  </si>
  <si>
    <t>Facturation du solde à réception du programme</t>
  </si>
  <si>
    <t>PV H.T.</t>
  </si>
  <si>
    <t>Résultat</t>
  </si>
  <si>
    <t>Délai de règlement des 3 factures clients à x jours</t>
  </si>
  <si>
    <t>Modalités de règlement des fournisseurs</t>
  </si>
  <si>
    <t>Sous-traitants : paiement à 30 j à réception de factures</t>
  </si>
  <si>
    <t>invariable</t>
  </si>
  <si>
    <t>Achats externes : paiement au comptant</t>
  </si>
  <si>
    <t>Prêt pour immobilisations</t>
  </si>
  <si>
    <t>Montant</t>
  </si>
  <si>
    <t>Durée de remboursement sur combien de mois</t>
  </si>
  <si>
    <t>Taux annuel</t>
  </si>
  <si>
    <t>Taux annuel du découvert</t>
  </si>
  <si>
    <t>Dividendes distribués (x% du résultat après impôts)</t>
  </si>
  <si>
    <t>Salaires bruts mensuels Medi@form</t>
  </si>
  <si>
    <t>Directeur général</t>
  </si>
  <si>
    <t>Directeur commercial</t>
  </si>
  <si>
    <t>Directeur technique et R&amp;D</t>
  </si>
  <si>
    <t>Secrétaire</t>
  </si>
  <si>
    <t>Commercial N°2</t>
  </si>
  <si>
    <t>Chef de projet</t>
  </si>
  <si>
    <t>Responsable de production</t>
  </si>
  <si>
    <t>Développeur informaticien</t>
  </si>
  <si>
    <t>Infographiste</t>
  </si>
  <si>
    <t>Scénariste</t>
  </si>
  <si>
    <t>Taux horaires sous-traitance</t>
  </si>
  <si>
    <t>Auteur</t>
  </si>
  <si>
    <t>Photographe</t>
  </si>
  <si>
    <t>Equipe audio-vidéo</t>
  </si>
  <si>
    <t>Taux de charges sociales patronales sur salaires bruts</t>
  </si>
  <si>
    <t>Autres achats externes (% de la masse salariale)</t>
  </si>
  <si>
    <t>Impôts et taxes (% de la masse salariale)</t>
  </si>
  <si>
    <t>Impôts sur les bénéfices (% du résultat d'exploitation)</t>
  </si>
  <si>
    <t>Apport en capital</t>
  </si>
  <si>
    <t>Base contrat sans vidéo TTC A1</t>
  </si>
  <si>
    <t>Planning de production, de facturation, d'encaisse A1</t>
  </si>
  <si>
    <t>Planning de production, de facturation, d'encaisse A2</t>
  </si>
  <si>
    <t>Planning de production, de facturation, d'encaisse A3</t>
  </si>
  <si>
    <t>CONTRATS SANS VIDEO</t>
  </si>
  <si>
    <t>J</t>
  </si>
  <si>
    <t>F</t>
  </si>
  <si>
    <t>M</t>
  </si>
  <si>
    <t>A</t>
  </si>
  <si>
    <t>S</t>
  </si>
  <si>
    <t>O</t>
  </si>
  <si>
    <t>N</t>
  </si>
  <si>
    <t>D</t>
  </si>
  <si>
    <t>Base contrat sans vidéo TTC A2</t>
  </si>
  <si>
    <t>Commande Janvier</t>
  </si>
  <si>
    <t>Fin</t>
  </si>
  <si>
    <t>Facturation TTC</t>
  </si>
  <si>
    <t>Base contrat avec vidéo TTC A2</t>
  </si>
  <si>
    <t>Encaisse TTC</t>
  </si>
  <si>
    <t>Commande Février</t>
  </si>
  <si>
    <t>Facturation TTC</t>
  </si>
  <si>
    <t>Rappel des Modalités de règlement clients</t>
  </si>
  <si>
    <t>Acompte comptant à la commande</t>
  </si>
  <si>
    <t>Commande Mars</t>
  </si>
  <si>
    <t>Facturation à mi-délai de chaque contrat</t>
  </si>
  <si>
    <t>Délai de règlement des factures en jours</t>
  </si>
  <si>
    <t>30j</t>
  </si>
  <si>
    <t>Commande Avril</t>
  </si>
  <si>
    <t>Commande Mai</t>
  </si>
  <si>
    <t>Commande Juin</t>
  </si>
  <si>
    <t>Nombre de fois le mot Fin dans A1 :</t>
  </si>
  <si>
    <t>Commande Juillet</t>
  </si>
  <si>
    <t>Nombre de fois le mot Fin dans A2 :</t>
  </si>
  <si>
    <t>Nombre de fois le mot Fin dans A2 (video) :</t>
  </si>
  <si>
    <t>Commande Août</t>
  </si>
  <si>
    <t>Commande Septembre</t>
  </si>
  <si>
    <t>Commande Octobre</t>
  </si>
  <si>
    <t>Commande Novembre</t>
  </si>
  <si>
    <t>Commande Décembre</t>
  </si>
  <si>
    <t>Total Facturation TTC mensuelle</t>
  </si>
  <si>
    <t>Total Encaisse mensuelle</t>
  </si>
  <si>
    <t>CONTRATS AVEC VIDEO</t>
  </si>
  <si>
    <t>Total total Facturation TTC</t>
  </si>
  <si>
    <t>Total total Encaisse TTC</t>
  </si>
  <si>
    <t>Détail facturation TTC sans vidéo</t>
  </si>
  <si>
    <t>Détail facturation TTC avec vidéo</t>
  </si>
  <si>
    <t>Facturé A2</t>
  </si>
  <si>
    <t>Encaisse A2</t>
  </si>
  <si>
    <t>Détail facturation HT sans video</t>
  </si>
  <si>
    <t>Total encaisse TTC</t>
  </si>
  <si>
    <t>Année A1</t>
  </si>
  <si>
    <t>Année A2</t>
  </si>
  <si>
    <t>Travail produit au 31/12/A1</t>
  </si>
  <si>
    <t>Travail facturé au 31/12/A1</t>
  </si>
  <si>
    <t>Valeur de l'en-cours</t>
  </si>
  <si>
    <t>Travail produit au 31/12/A2</t>
  </si>
  <si>
    <t>Travail facturé au 31/12/A2</t>
  </si>
  <si>
    <t>Budget en PR d'un contrat sans vidéo</t>
  </si>
  <si>
    <t>Commande de septembre (aux 3/4 terminée)(10%+40% de facturé)</t>
  </si>
  <si>
    <t>Commande d'octobre (à moitié terminée) (10%+40% de facturé)</t>
  </si>
  <si>
    <t>Commande de novembre (au 1/4 terminée)(10% de facturé)</t>
  </si>
  <si>
    <t>Commande de décembre (à son début)(10% de facturé)</t>
  </si>
  <si>
    <t>Travaux en-cours des contrats sans vidéo au 31/12</t>
  </si>
  <si>
    <t>Budget en PR d'un contrat avec vidéo</t>
  </si>
  <si>
    <t>Commande d'août (aux 4/5 terminée)(10%+40% de facturé)</t>
  </si>
  <si>
    <t>Commande de septembre (aux 3/5 terminée)(10%+40% de facturé)</t>
  </si>
  <si>
    <t>Commande d'octobre (aux 2/5 terminée)(10% de facturé)</t>
  </si>
  <si>
    <t>Commande de novembre (aux 1/5 terminée)(10% de facturé)</t>
  </si>
  <si>
    <t>Travaux en-cours des contrats avec vidéo au 31/12</t>
  </si>
  <si>
    <t>VALEUR DES TEC A PORTER A l'ACTIF</t>
  </si>
  <si>
    <t>VARIATION DE TEC A PORTER AU COMPTE DE RESULTAT</t>
  </si>
  <si>
    <t>B</t>
  </si>
  <si>
    <t>C</t>
  </si>
  <si>
    <t>E</t>
  </si>
  <si>
    <t>G</t>
  </si>
  <si>
    <t>H</t>
  </si>
  <si>
    <t>I</t>
  </si>
  <si>
    <t>K</t>
  </si>
  <si>
    <t>P</t>
  </si>
  <si>
    <t>Q</t>
  </si>
  <si>
    <t>R</t>
  </si>
  <si>
    <t>T</t>
  </si>
  <si>
    <t>U</t>
  </si>
  <si>
    <t>V</t>
  </si>
  <si>
    <t>W</t>
  </si>
  <si>
    <t>X</t>
  </si>
  <si>
    <t>Y</t>
  </si>
  <si>
    <t>AA</t>
  </si>
  <si>
    <t>AB</t>
  </si>
  <si>
    <t>AC</t>
  </si>
  <si>
    <t>AD</t>
  </si>
  <si>
    <t>EXERCICE A1</t>
  </si>
  <si>
    <t>EXERCICE A2</t>
  </si>
  <si>
    <t>Salaire mensuel brut</t>
  </si>
  <si>
    <t>Janv</t>
  </si>
  <si>
    <t>Févr</t>
  </si>
  <si>
    <t>Avr</t>
  </si>
  <si>
    <t>Juil</t>
  </si>
  <si>
    <t>Sept</t>
  </si>
  <si>
    <t>Oct</t>
  </si>
  <si>
    <t>Nov</t>
  </si>
  <si>
    <t>Déc</t>
  </si>
  <si>
    <t>Total</t>
  </si>
  <si>
    <t>Chefs de projet</t>
  </si>
  <si>
    <t>Responsables de production</t>
  </si>
  <si>
    <t>Dév Informaticiens</t>
  </si>
  <si>
    <t>Infographistes</t>
  </si>
  <si>
    <t>Total total</t>
  </si>
  <si>
    <t>Les cellules grisées indiquent un mois d'embauche</t>
  </si>
  <si>
    <t>L</t>
  </si>
  <si>
    <t>Exercice N°1</t>
  </si>
  <si>
    <t>Exercice N°2</t>
  </si>
  <si>
    <t>Postes</t>
  </si>
  <si>
    <t>Agencements (5ans)</t>
  </si>
  <si>
    <t>Matériel et logiciel de production et d'administration (3 ans)</t>
  </si>
  <si>
    <t>Matériel de bureau (5ans)</t>
  </si>
  <si>
    <t>Invest</t>
  </si>
  <si>
    <t>Mois</t>
  </si>
  <si>
    <t>Amort.</t>
  </si>
  <si>
    <t>Immobilisations corporelles</t>
  </si>
  <si>
    <t>Directeur Géneral</t>
  </si>
  <si>
    <t>Directeur Commercial</t>
  </si>
  <si>
    <t>Directeur Technique et R&amp;D</t>
  </si>
  <si>
    <t>Secrétariat</t>
  </si>
  <si>
    <t>Chef de projet 1</t>
  </si>
  <si>
    <t>Chef de projet 2</t>
  </si>
  <si>
    <t>Responsable de production 1</t>
  </si>
  <si>
    <t>Responsable de production 2</t>
  </si>
  <si>
    <t>Développeur informaticien 1</t>
  </si>
  <si>
    <t>Développeur informaticien 2</t>
  </si>
  <si>
    <t>Développeur informaticien 3</t>
  </si>
  <si>
    <t>Infographiste 1</t>
  </si>
  <si>
    <t>Infographiste 2</t>
  </si>
  <si>
    <t>Infographiste 3</t>
  </si>
  <si>
    <t>Salle de réunion et de démonstration</t>
  </si>
  <si>
    <t>??</t>
  </si>
  <si>
    <t>Agencements</t>
  </si>
  <si>
    <t>Investissement H.T. Exercice</t>
  </si>
  <si>
    <t>Amortissement Exercice</t>
  </si>
  <si>
    <t>Total total Investissement H.T. de l'exercice</t>
  </si>
  <si>
    <t>Total total Amortissement de l'exercice</t>
  </si>
  <si>
    <t>Immobilisations incorporelles</t>
  </si>
  <si>
    <t>Invst</t>
  </si>
  <si>
    <t>Amort</t>
  </si>
  <si>
    <t>Frais de 1er établissement</t>
  </si>
  <si>
    <t>Frais de recherche et développement</t>
  </si>
  <si>
    <t>Total total Investissement</t>
  </si>
  <si>
    <t>Total total Amortissement</t>
  </si>
  <si>
    <t>Taux horaires exercice N°1</t>
  </si>
  <si>
    <t>Taux horaires exercice N°2</t>
  </si>
  <si>
    <t>Sections auxiliaires</t>
  </si>
  <si>
    <t>Sections principales</t>
  </si>
  <si>
    <t>Clefs de répartition</t>
  </si>
  <si>
    <t>DG et secrétariat</t>
  </si>
  <si>
    <t>DC</t>
  </si>
  <si>
    <t>DT et R&amp;D</t>
  </si>
  <si>
    <t>Chefs de projets</t>
  </si>
  <si>
    <t>Resp. de prod.</t>
  </si>
  <si>
    <t>Dév. informaticiens</t>
  </si>
  <si>
    <t>Vérif total</t>
  </si>
  <si>
    <t>CHARGES</t>
  </si>
  <si>
    <t>Salaires et traitements</t>
  </si>
  <si>
    <t>Charges sociales</t>
  </si>
  <si>
    <t>Total frais de personnel</t>
  </si>
  <si>
    <t>Achats et charges externes hors sous-traitance et frais de déplacement</t>
  </si>
  <si>
    <t>Prorata frais de personnel</t>
  </si>
  <si>
    <t>Impôts et taxes</t>
  </si>
  <si>
    <t>Dotation aux amortissements (corporels et incorporels)</t>
  </si>
  <si>
    <t>Total CHARGES hors sous-traitance</t>
  </si>
  <si>
    <t>Effectif en fin d'exercice</t>
  </si>
  <si>
    <t>Nombre de mois de salaires</t>
  </si>
  <si>
    <t>Nombre d'heures théorique de présence annuelle du personnel</t>
  </si>
  <si>
    <t>Absenteïsme en nbre de jours annuel</t>
  </si>
  <si>
    <t>Nombre d'heures réel moyen de présence mensuelle du personnel</t>
  </si>
  <si>
    <t>Imputation des frais de sections SA</t>
  </si>
  <si>
    <t>DG</t>
  </si>
  <si>
    <t>Prorata heures</t>
  </si>
  <si>
    <t>DT R&amp;D</t>
  </si>
  <si>
    <t>Total frais de section SP après imputation</t>
  </si>
  <si>
    <t>Taux horaire en coût de revient complet</t>
  </si>
  <si>
    <t>BUDGET PR DU CONTRAT SANS VIDEO A1</t>
  </si>
  <si>
    <t>BUDGET PR DU CONTRAT SANS VIDEO A2</t>
  </si>
  <si>
    <t>BUDGET PR DU CONTRAT AVEC VIDEO A2</t>
  </si>
  <si>
    <t>Postes du contrat</t>
  </si>
  <si>
    <t>TH</t>
  </si>
  <si>
    <t>Heures sur contrat</t>
  </si>
  <si>
    <t>Budget PR</t>
  </si>
  <si>
    <t>Budget PR</t>
  </si>
  <si>
    <t>Main d'œuvre directe</t>
  </si>
  <si>
    <t>Total MOD</t>
  </si>
  <si>
    <t>Frais de déplacement</t>
  </si>
  <si>
    <t>Sous-traitance</t>
  </si>
  <si>
    <t>Total sous-traitance</t>
  </si>
  <si>
    <t>Total budget contrat calculé</t>
  </si>
  <si>
    <t>PV HT décidé</t>
  </si>
  <si>
    <t>PV TTC décidé</t>
  </si>
  <si>
    <t>Les amortissements sont déjà inclus dans les taux horaires en coût complet</t>
  </si>
  <si>
    <t>Z</t>
  </si>
  <si>
    <t>CALCUL DE LA TVA ET BALANCE TVA POUR LE BILAN</t>
  </si>
  <si>
    <t>TVA à porter au PASSIF</t>
  </si>
  <si>
    <t>CA HT facturé au compte de produits</t>
  </si>
  <si>
    <t>TVA comptabilisée à payer sur CA HT facturé</t>
  </si>
  <si>
    <t>Cumul à fin de mois n de la TVA comptabilisée à payer</t>
  </si>
  <si>
    <t>Encaissement TTC</t>
  </si>
  <si>
    <t>TVA payée au mois i sur encaissement du mois i-1</t>
  </si>
  <si>
    <t>Cumul au mois n de la TVA à payer</t>
  </si>
  <si>
    <t>TVA restant à payer au 31/12/An et à porter au PASSIF du Bilan</t>
  </si>
  <si>
    <t>TVA à porter à l'ACTIF</t>
  </si>
  <si>
    <t>Factures fournisseurs TTC reçues dans le mois pour les achats externes</t>
  </si>
  <si>
    <t>Factures des sous-traitants reçues dans le mois de fin des contrats</t>
  </si>
  <si>
    <t>Factures fournisseurs TTC reçues dans le mois pour les immobilisations</t>
  </si>
  <si>
    <t>Total Factures fournisseurs HT reçues dans le mois</t>
  </si>
  <si>
    <t>TVA comptabilisée sur factures fournisseurs reçues dans le mois</t>
  </si>
  <si>
    <t>TVA à récupérer au mois i sur factures fournisseurs reçues au mois i-1</t>
  </si>
  <si>
    <t>Cumul au mois n de la TVA à récupérer</t>
  </si>
  <si>
    <t>TVA restant à récupérer au 31/12/An et à porter à l'ACTIF du Bilan</t>
  </si>
  <si>
    <t>Différence A-B</t>
  </si>
  <si>
    <t>TVA nette à payer dans le mois i</t>
  </si>
  <si>
    <t>Base</t>
  </si>
  <si>
    <t>Fév</t>
  </si>
  <si>
    <t>N° de mois</t>
  </si>
  <si>
    <t>Solde en banque et Caisse en début de mois (A)</t>
  </si>
  <si>
    <t>Contrats terminés sans vidéo</t>
  </si>
  <si>
    <t>Contrats terminés avec vidéo</t>
  </si>
  <si>
    <t>CA TTC facturé</t>
  </si>
  <si>
    <t>Encaissements d'exploitation TTC (B) à x j de facturation</t>
  </si>
  <si>
    <t>Dépenses d'exploitation (Décaissements d'exploitation)</t>
  </si>
  <si>
    <t>Sous-traitance TTC Contrat sans vidéo</t>
  </si>
  <si>
    <t>Sous-traitance TTC Contrat avec vidéo</t>
  </si>
  <si>
    <t>Directeur général ou gérant</t>
  </si>
  <si>
    <t>Directeur Technique et de R&amp;D</t>
  </si>
  <si>
    <t>Salaires chefs de projet</t>
  </si>
  <si>
    <t>Salaires responsables de production</t>
  </si>
  <si>
    <t>Développeurs informaticiens</t>
  </si>
  <si>
    <t>Salaires développeurs informaticiens</t>
  </si>
  <si>
    <t>Salaire scènariste</t>
  </si>
  <si>
    <t>Salaires infographistes</t>
  </si>
  <si>
    <t>Charges sociales à payer au mois suivant les salaires</t>
  </si>
  <si>
    <t>Autres charges externes par abonnement</t>
  </si>
  <si>
    <t>Impôts et taxes par abonnement</t>
  </si>
  <si>
    <t>Frais de déplacement des contrats terminés</t>
  </si>
  <si>
    <t>Flux mensuel d'exploitation</t>
  </si>
  <si>
    <t>Flux net de TVA à régler dans le mois (voir calcul TVA)</t>
  </si>
  <si>
    <t>Impôts sur bénéfices</t>
  </si>
  <si>
    <t>-</t>
  </si>
  <si>
    <t>Dividendes distribués</t>
  </si>
  <si>
    <t>Flux mensuel exploitation D = (B-C)</t>
  </si>
  <si>
    <t>Encaissements (Ressources)</t>
  </si>
  <si>
    <t>Emprunts Moyen Terme contractés pour immo</t>
  </si>
  <si>
    <t>Concours Court terme Loi Dailly (80% du CA facturé TTC)</t>
  </si>
  <si>
    <t>Total Encaissements (E)</t>
  </si>
  <si>
    <t>Décaissements (Emplois)</t>
  </si>
  <si>
    <t>Investissements en immobilisations TTC</t>
  </si>
  <si>
    <t>Investissements en immobilisations incorporelles</t>
  </si>
  <si>
    <t>Frais d'établissement amortis en 3 ans</t>
  </si>
  <si>
    <t>Frais de recherche et développement avant création (Navicub)</t>
  </si>
  <si>
    <t>Remboursement d'emprunts pour immo (3 ans à 7%) (capital)</t>
  </si>
  <si>
    <t>Remboursements Dailly à échéance d'encaissement client</t>
  </si>
  <si>
    <t>Total Décaissements (F)</t>
  </si>
  <si>
    <t>Flux mensuel Ressources-Emplois G = (E-F)</t>
  </si>
  <si>
    <t>Flux mensuel global de trésorerie (D+G)</t>
  </si>
  <si>
    <t>Frais financiers</t>
  </si>
  <si>
    <t>Intérêts en-cours Dailly à 8% l'an</t>
  </si>
  <si>
    <t>Agios financiers sur découvert de fin de mois précédent</t>
  </si>
  <si>
    <t>Intérêts de l'emprunt pour immobilisations</t>
  </si>
  <si>
    <t>Flux de trésorerie du mois</t>
  </si>
  <si>
    <t>Code</t>
  </si>
  <si>
    <t>Exercice N</t>
  </si>
  <si>
    <t>Exercice N+1</t>
  </si>
  <si>
    <t>PRODUITS (hors taxes) Classe 7</t>
  </si>
  <si>
    <t>Produits d'exploitation</t>
  </si>
  <si>
    <t>Ventes de marchandises</t>
  </si>
  <si>
    <t>Production vendue (biens et services)</t>
  </si>
  <si>
    <t>Montant net du chiffre d'affaires HT facturé Sous-total (A)</t>
  </si>
  <si>
    <t>dont à l'exportation :</t>
  </si>
  <si>
    <t>Production stockée (Stock final-stock initial)(travaux en-cours)</t>
  </si>
  <si>
    <t>Production immobilisée (de l'entreprise pour elle-même)</t>
  </si>
  <si>
    <t>Subventions d'exploitation</t>
  </si>
  <si>
    <t>Reprises sur provisions (et amortissements), transfert de charges</t>
  </si>
  <si>
    <t>Autres produits</t>
  </si>
  <si>
    <t>Sous-total (B)</t>
  </si>
  <si>
    <t>Total des produits d'exploitation (A+B) = (I)</t>
  </si>
  <si>
    <t>Quotes-parts de résultats sur opérations faites en commun = (II)</t>
  </si>
  <si>
    <t>Produits financiers</t>
  </si>
  <si>
    <t>De participations</t>
  </si>
  <si>
    <t>D'autres valeurs mobilières et créances de l'actif immobilisé</t>
  </si>
  <si>
    <t>Autres intérêts et produits assimilés</t>
  </si>
  <si>
    <t>Reprises sur provisions et transferts de charges</t>
  </si>
  <si>
    <t>Différences positives de change</t>
  </si>
  <si>
    <t>Produits nets sur cessions de valeur mobilières de placement</t>
  </si>
  <si>
    <t>Total des produits financiers (III)</t>
  </si>
  <si>
    <t>Produits exceptionnels</t>
  </si>
  <si>
    <t>Sur opérations de gestion</t>
  </si>
  <si>
    <t>Sur opérations de capital</t>
  </si>
  <si>
    <t>Reprises sur amortissements et provisions</t>
  </si>
  <si>
    <t>Transfert de charges</t>
  </si>
  <si>
    <t>Total des produits exceptionnels (IV)</t>
  </si>
  <si>
    <t>Total des produits (I + II + III + IV)</t>
  </si>
  <si>
    <t>Solde débiteur = perte</t>
  </si>
  <si>
    <t>TOTAL GENERAL</t>
  </si>
  <si>
    <t>Délai de paiement client</t>
  </si>
  <si>
    <t>Résultat BN2</t>
  </si>
  <si>
    <t>% Agios/BN2</t>
  </si>
  <si>
    <t>CHARGES (hors taxes) Classe 6</t>
  </si>
  <si>
    <t>Charges d'exploitation</t>
  </si>
  <si>
    <t>Achats de marchandises</t>
  </si>
  <si>
    <t>Variation de stock (stock initial - stock final)</t>
  </si>
  <si>
    <t>Achats de matières premières et autres approvisionnements</t>
  </si>
  <si>
    <t>Autres achats et charges externes dont sous-traitance</t>
  </si>
  <si>
    <t>Contrats sans vidéo terminés</t>
  </si>
  <si>
    <t>Contrats avec vidéo terminés</t>
  </si>
  <si>
    <t>Autres charges externes (x% de la masse salariale brute)</t>
  </si>
  <si>
    <t>Redevances de crédit-bail</t>
  </si>
  <si>
    <t>Loyers et charges locatives</t>
  </si>
  <si>
    <t>EDF-GDF, Eau</t>
  </si>
  <si>
    <t>Petit matériel</t>
  </si>
  <si>
    <t>Fournitures de bureau</t>
  </si>
  <si>
    <t>Entretien et réparations</t>
  </si>
  <si>
    <t>Assurances</t>
  </si>
  <si>
    <t>Documentation et frais de colloques, séminaires</t>
  </si>
  <si>
    <t>Personnel intérimaire</t>
  </si>
  <si>
    <t>Honoraires</t>
  </si>
  <si>
    <t>Publicité, publications, relations publiques</t>
  </si>
  <si>
    <t>Déplacement, missions et réceptions</t>
  </si>
  <si>
    <t>Frais postaux et de télécommunications</t>
  </si>
  <si>
    <t>Impôts et taxes (y% de la masse salariale brute)</t>
  </si>
  <si>
    <t>Taxe d'apprentissage</t>
  </si>
  <si>
    <t>Participation à la formation professionnelle continue</t>
  </si>
  <si>
    <t>Participation des employeurs à l'effort de construction</t>
  </si>
  <si>
    <t>Taxe professionnelle</t>
  </si>
  <si>
    <t>Taxe foncière</t>
  </si>
  <si>
    <t>Taxe sur les véhicules de société</t>
  </si>
  <si>
    <t>Salaires et traitements bruts</t>
  </si>
  <si>
    <t>Charges sociales (z% de la masse salariale brute)</t>
  </si>
  <si>
    <t>URSSAF</t>
  </si>
  <si>
    <t>Mutuelle et prévoyance</t>
  </si>
  <si>
    <t>Caisse de retraite complémentaire ARCCO</t>
  </si>
  <si>
    <t>Caisse de retraite des cadres AGIRC</t>
  </si>
  <si>
    <t>Assedic</t>
  </si>
  <si>
    <t>Autres organismes sociaux</t>
  </si>
  <si>
    <t>Dotation aux amortissements et aux provisions</t>
  </si>
  <si>
    <t>sur immobilisations : dotation aux amortissements (voir détail au tableau d'immo)</t>
  </si>
  <si>
    <t>sur immobilisations : dotation aux provisions</t>
  </si>
  <si>
    <t>sur actif circulant : dotation aux provisions</t>
  </si>
  <si>
    <t>pour risques et charges : dotations aux provisions</t>
  </si>
  <si>
    <t>Frais de déplacement contrat sans vidéo (2000 € par contrat terminé)</t>
  </si>
  <si>
    <t>Frais de déplacement contrat avec vidéo (2000 € par contrat terminé)</t>
  </si>
  <si>
    <t>Total des charges d'exploitation (I)</t>
  </si>
  <si>
    <t>Quotes-parts de résultats sur opérations faites en commun (II)</t>
  </si>
  <si>
    <t>Charges financières</t>
  </si>
  <si>
    <t>Dotations aux amortissements et aux provisions</t>
  </si>
  <si>
    <t>Intérêts des emprunts</t>
  </si>
  <si>
    <t>Différences négatives de change</t>
  </si>
  <si>
    <t>Charges nettes sur cessions de valeurs mobilières de placement</t>
  </si>
  <si>
    <t>Total des charges financières (III)</t>
  </si>
  <si>
    <t>Charges exceptionnelles</t>
  </si>
  <si>
    <t>Sur opérations en capital</t>
  </si>
  <si>
    <t>Total des charges exceptionnelles (IV)</t>
  </si>
  <si>
    <t>TOTAL DES CHARGES (I + II +III + IV)</t>
  </si>
  <si>
    <t>Résultat avant impôts</t>
  </si>
  <si>
    <t>Participation des salariés aux fruits de l'expansion (V)</t>
  </si>
  <si>
    <t>Impôts sur les bénéfices (VI)</t>
  </si>
  <si>
    <t>Résultat net après impôts</t>
  </si>
  <si>
    <t>PASSIF</t>
  </si>
  <si>
    <t>Avant répartition des bénéfices</t>
  </si>
  <si>
    <t>Après répartition des bénéfices</t>
  </si>
  <si>
    <t>CAPITAUX PROPRES</t>
  </si>
  <si>
    <t>Capital social (dont versé)</t>
  </si>
  <si>
    <t>Prime d'émission, de fusion, d'apport</t>
  </si>
  <si>
    <t>Ecarts de réévaluation</t>
  </si>
  <si>
    <t>Réserves</t>
  </si>
  <si>
    <t>Réserve légale : 5% du résultat jusqu'à 10% du capital social</t>
  </si>
  <si>
    <t>Réserves statutaires et contractuelles</t>
  </si>
  <si>
    <t>Réserves réglementées</t>
  </si>
  <si>
    <t>Autres réserves (facultatives)</t>
  </si>
  <si>
    <t>Résultat net de l'exercice (bénéfice ou perte)</t>
  </si>
  <si>
    <t>Report à nouveau après répartition des résultats (somme des déficits des exercices antérieurs)</t>
  </si>
  <si>
    <t>Sous-total situation nette après répartition = capital + réserves + report à nouveau</t>
  </si>
  <si>
    <t>Subventions d'investissement</t>
  </si>
  <si>
    <t>Provisions réglementées</t>
  </si>
  <si>
    <t>TOTAL CAPITAUX PROPRES (I)</t>
  </si>
  <si>
    <t>PROVISIONS POUR RISQUES ET CHARGES</t>
  </si>
  <si>
    <t>Provisions pour risques</t>
  </si>
  <si>
    <t>Provisions pour charges</t>
  </si>
  <si>
    <t>TOTAL PROVISIONS POUR RISQUES ET CHARGES (II)</t>
  </si>
  <si>
    <t>DETTES</t>
  </si>
  <si>
    <t>Emprunts obligataires convertibles</t>
  </si>
  <si>
    <t>Autres emprunts obligataires</t>
  </si>
  <si>
    <t>Emprunt et dettes auprès des établissements de crédit (reste à rembourser en capital)</t>
  </si>
  <si>
    <t>Emprunt et dettes financières divers</t>
  </si>
  <si>
    <t>Avances et acomptes reçus sur commandes clients en-cours</t>
  </si>
  <si>
    <t>Dettes fournisseurs et comptes rattachés (achats ou prestations de services : sous-traitance à payer au mois N°13)</t>
  </si>
  <si>
    <t>Dettes fiscales (Impôts sur bénéfices)</t>
  </si>
  <si>
    <t>Dettes sociales</t>
  </si>
  <si>
    <t>Dettes sur immobilisations et comptes rattachés</t>
  </si>
  <si>
    <t>Autres dettes (TVA à payer sur créances clients)</t>
  </si>
  <si>
    <t>Dividendes à distribuer en N+1</t>
  </si>
  <si>
    <t>Découvert en banque</t>
  </si>
  <si>
    <t>TOTAL DETTES (III)</t>
  </si>
  <si>
    <t>COMPTES DE REGULARISATION</t>
  </si>
  <si>
    <t>Produits constatés d'avance</t>
  </si>
  <si>
    <t>Ecarts de conversion Passif</t>
  </si>
  <si>
    <t>TOTAL COMPTES DE REGULARISATION (IV)</t>
  </si>
  <si>
    <t>TOTAL GENERAL PASSIF (I + II + III + IV)</t>
  </si>
  <si>
    <t>ACTIF</t>
  </si>
  <si>
    <t>Invst Brut en N</t>
  </si>
  <si>
    <t>Amortst</t>
  </si>
  <si>
    <t>Net fin N</t>
  </si>
  <si>
    <t>Invst Brut en N+1</t>
  </si>
  <si>
    <t>Net fin N+1</t>
  </si>
  <si>
    <t>(Actionnaires), capital souscrit non appelé (I)</t>
  </si>
  <si>
    <t>ACTIF IMMOBILISE</t>
  </si>
  <si>
    <t>Frais d'établissement</t>
  </si>
  <si>
    <t>Frais de recherche et de développement</t>
  </si>
  <si>
    <t>Concessions, brevets, licences, marques, procédés, droits et valeurs similaires</t>
  </si>
  <si>
    <t>Fonds commercial</t>
  </si>
  <si>
    <t>Autres</t>
  </si>
  <si>
    <t>Avances et acomptes</t>
  </si>
  <si>
    <t>Terrains</t>
  </si>
  <si>
    <t>Constructions</t>
  </si>
  <si>
    <t>Installations techniques, matériel et outillages industriels</t>
  </si>
  <si>
    <t>Immobilisations corporelles en-cours</t>
  </si>
  <si>
    <t>Immobilisations financières</t>
  </si>
  <si>
    <t>Participations</t>
  </si>
  <si>
    <t>Créances rattachées à des participations</t>
  </si>
  <si>
    <t>Autres titres immobilisés</t>
  </si>
  <si>
    <t>Prêts</t>
  </si>
  <si>
    <t>TOTAL ACTIF IMMOBILISE (II)</t>
  </si>
  <si>
    <t>ACTIF CIRCULANT</t>
  </si>
  <si>
    <t>Stocks et en-cours</t>
  </si>
  <si>
    <t>Matières premières et autres approvisionnements</t>
  </si>
  <si>
    <t>En-cours de production en fin d'exercice non facturés (biens et services)</t>
  </si>
  <si>
    <t>Produits intermédiaires et finis</t>
  </si>
  <si>
    <t>Marchandises (à revendre en l'état)</t>
  </si>
  <si>
    <t>Avances et acomptes versés sur commandes fournisseurs</t>
  </si>
  <si>
    <t>Créances</t>
  </si>
  <si>
    <t>Créances clients et comptes rattachés</t>
  </si>
  <si>
    <t>Autres (TVA sur fournisseurs comptabilisée dans le solde de décembre qui sera payé en janvier)</t>
  </si>
  <si>
    <t>Capital souscrit appelé et non versé</t>
  </si>
  <si>
    <t>Valeurs mobilières de placement</t>
  </si>
  <si>
    <t>Actions propres</t>
  </si>
  <si>
    <t>Autres titres</t>
  </si>
  <si>
    <t>Disponibilités en banque</t>
  </si>
  <si>
    <t>TOTAL ACTIF CIRCULANT (III)</t>
  </si>
  <si>
    <t>Charges constatées d'avance</t>
  </si>
  <si>
    <t>Charges à répartir sur plusieurs exercices</t>
  </si>
  <si>
    <t>Primes de remboursement des obligations</t>
  </si>
  <si>
    <t>Ecarts de conversion Actif</t>
  </si>
  <si>
    <t>TOTAL GENERAL ACTIF (I + II + III+ IV)</t>
  </si>
  <si>
    <t>FONDS DE ROULEMENT ET BESOIN EN FONDS DE ROULEMENT A1</t>
  </si>
  <si>
    <t>CROISSANCE DU CA PAR AUTOFINANCEMENT</t>
  </si>
  <si>
    <t>FR A1 = Fonds de roulement en année 1</t>
  </si>
  <si>
    <t>CA1</t>
  </si>
  <si>
    <t>Capital social</t>
  </si>
  <si>
    <t>c = taux de croissance du CA = (CA2-CA1)/CA1</t>
  </si>
  <si>
    <t>+ Résultat d'exploitation après impôts</t>
  </si>
  <si>
    <t>CA2 Objectif</t>
  </si>
  <si>
    <t>+ Emprunt à long et moyen terme (net après remboursement)</t>
  </si>
  <si>
    <t>- Immobilisations nettes</t>
  </si>
  <si>
    <t>autofinancement = Résultat d'exploitation après impôts et avant distribution de dividendes d = BN1</t>
  </si>
  <si>
    <t>Total FR A1</t>
  </si>
  <si>
    <t>a = autofinancement / CA1</t>
  </si>
  <si>
    <t>BFR A1 = Besoin en fonds de roulement A1</t>
  </si>
  <si>
    <t>BFR A1</t>
  </si>
  <si>
    <t>Stocks et travaux en-cours</t>
  </si>
  <si>
    <t>b = BFR A1/CA1</t>
  </si>
  <si>
    <t>+ Créances clients</t>
  </si>
  <si>
    <t>BFR en A2</t>
  </si>
  <si>
    <t>+ TVA fournisseurs</t>
  </si>
  <si>
    <t>Augmentation du BFR en A2 par rapport à A1</t>
  </si>
  <si>
    <t>- Dettes fournisseurs TTC</t>
  </si>
  <si>
    <t>Autofinancement possible ?</t>
  </si>
  <si>
    <t>- Dettes fiscales</t>
  </si>
  <si>
    <t>Jusqu'à quel niveau de dividendes peut-on encore financer la croissance par autofinancement ?</t>
  </si>
  <si>
    <t>- Dettes sociales</t>
  </si>
  <si>
    <t>d = Dividendes distribués</t>
  </si>
  <si>
    <t>- TVA sur créances clients</t>
  </si>
  <si>
    <t>Autofinancement net restant pour financer l'augmentation du BFR</t>
  </si>
  <si>
    <t>Total BFR A1</t>
  </si>
  <si>
    <t>Montant de l'emprunt pour financer le reste de l'augmentation du BFR en A2 par rapport à A1</t>
  </si>
  <si>
    <t>Trésorerie = FR - BFR</t>
  </si>
  <si>
    <t>FONDS DE ROULEMENT ET BESOIN EN FONDS DE ROULEMENT A2</t>
  </si>
  <si>
    <t>FR A2 = Fonds de roulement en année 2</t>
  </si>
  <si>
    <t>Total FR A2</t>
  </si>
  <si>
    <t>BFR A2 = Besoin en fonds de roulement A2</t>
  </si>
  <si>
    <t>Total BFR A2</t>
  </si>
  <si>
    <t>Besoins durables</t>
  </si>
  <si>
    <t>Ressources durables</t>
  </si>
  <si>
    <t>Investissements H.T.</t>
  </si>
  <si>
    <t>Comptes courants d'associés</t>
  </si>
  <si>
    <t>Besoin en fonds de roulement</t>
  </si>
  <si>
    <t>Subventions ou primes d'équipements</t>
  </si>
  <si>
    <t>Emprunts à long et moyen terme</t>
  </si>
  <si>
    <t>Total Besoins</t>
  </si>
  <si>
    <t>Total Ressources</t>
  </si>
  <si>
    <t>EQUATION DE PERFORMANCE FINANCIERE ET LEVIER FINANCIER</t>
  </si>
  <si>
    <t>A1</t>
  </si>
  <si>
    <t>A2</t>
  </si>
  <si>
    <t>A = Actif total</t>
  </si>
  <si>
    <t>CP = Capitaux propres de début d'année</t>
  </si>
  <si>
    <t>D = Dettes totales = A - CP</t>
  </si>
  <si>
    <t>Dettes à moyen et long terme</t>
  </si>
  <si>
    <t>Charges financières totales FF= iD</t>
  </si>
  <si>
    <t>Intérêts des dettes à long et moyen terme</t>
  </si>
  <si>
    <t>i = taux d'intérêt moyen des dettes = FF/D</t>
  </si>
  <si>
    <t>BN3 = Bénéfice d'exploitation avant charges financières</t>
  </si>
  <si>
    <t>Re3 = BN3/A = Rentabilité économique de l'actif total</t>
  </si>
  <si>
    <t>BN2 après charges financières et avant impôts = BN3 -iD = D.(Re-i)+Re.CP</t>
  </si>
  <si>
    <t>tx = taux d'impôts</t>
  </si>
  <si>
    <t>BN1 après impôts = (1-tx) BN2 = [D.(Re-i)+Re.CP](1-tx)</t>
  </si>
  <si>
    <t>Rentabilité financière = Rf1 = BN1/CP = [(D/CP)x(Re3-i) + Re3](1-tx)</t>
  </si>
  <si>
    <t>p = Taux de rétention des bénéfices pour l'entreprise</t>
  </si>
  <si>
    <t>Rc = rentabilité des capitaux propres pour l'entreprise  = p x Rf1</t>
  </si>
  <si>
    <t>Ra = rentabilité des capitaux pour les actionnaires  = (1-p)xRf1</t>
  </si>
  <si>
    <t>Taux de croissance intrinséque des capitaux = p(1-t)xRe3</t>
  </si>
  <si>
    <t>Taux de croissance extrinséque des capitaux = p(1-t)x[D/CP(Re3-i)]</t>
  </si>
  <si>
    <t>COMPTE DE RESULTAT</t>
  </si>
  <si>
    <t>BILAN</t>
  </si>
  <si>
    <t>Produits</t>
  </si>
  <si>
    <t>Passif</t>
  </si>
  <si>
    <t>Avant</t>
  </si>
  <si>
    <t>Après</t>
  </si>
  <si>
    <t>Delta</t>
  </si>
  <si>
    <t>CA HT</t>
  </si>
  <si>
    <t>TEC</t>
  </si>
  <si>
    <t>Résultat net de l'exercice</t>
  </si>
  <si>
    <t>Total Produits</t>
  </si>
  <si>
    <t>Capitaux propres</t>
  </si>
  <si>
    <t>Charges</t>
  </si>
  <si>
    <t>Dettes auprès des établissements de crédit</t>
  </si>
  <si>
    <t>Achats externes</t>
  </si>
  <si>
    <t>Dettes fournisseurs</t>
  </si>
  <si>
    <t>Dettes fiscales</t>
  </si>
  <si>
    <t>Salaires bruts</t>
  </si>
  <si>
    <t>TVA sur comptes clients à acquitter</t>
  </si>
  <si>
    <t>Dotation aux amortissements</t>
  </si>
  <si>
    <t>Actif</t>
  </si>
  <si>
    <t>Agios</t>
  </si>
  <si>
    <t>Actif immobilisé net</t>
  </si>
  <si>
    <t>Intérêts sur emprunt</t>
  </si>
  <si>
    <t>Stock TEC</t>
  </si>
  <si>
    <t>Créances clients</t>
  </si>
  <si>
    <t>TVA sur comptes fournisseurs à récupérer</t>
  </si>
  <si>
    <t>Disponibilité en banque</t>
  </si>
  <si>
    <t>PRIME DIRECTEUR COMMERCIAL</t>
  </si>
  <si>
    <t>Salaire brut annuel</t>
  </si>
  <si>
    <t>Economie d'agios</t>
  </si>
  <si>
    <t>Total salaire brut</t>
  </si>
  <si>
    <t>Total salaire net : 80% du brut</t>
  </si>
  <si>
    <t>Δ salaire net</t>
  </si>
  <si>
    <t>R = 0,9 x Salaire net</t>
  </si>
  <si>
    <t>Calcul de l'IRPP</t>
  </si>
  <si>
    <t>N = nombre de parts</t>
  </si>
  <si>
    <t>Bareme fiscal 2008</t>
  </si>
  <si>
    <t>QF = R/N</t>
  </si>
  <si>
    <t>IRPP à payer</t>
  </si>
  <si>
    <t>R x 0,055 - 312,79 x N</t>
  </si>
  <si>
    <t>Δ IRPP</t>
  </si>
  <si>
    <t>R x 0,14 -1277,03 x N</t>
  </si>
  <si>
    <t>% ΔIRPP/Δ salaire net</t>
  </si>
  <si>
    <t>R x 0,3 - 5308,23 x N</t>
  </si>
  <si>
    <t>Revenu net supplémentaire</t>
  </si>
  <si>
    <t>&gt;67546</t>
  </si>
  <si>
    <t>R x 0,4 - 12062,83 x N</t>
  </si>
  <si>
    <t>DIAGNOSTIC MEDIAFORM</t>
  </si>
  <si>
    <t>Code</t>
  </si>
  <si>
    <t>Signification</t>
  </si>
  <si>
    <t>Commentaires</t>
  </si>
  <si>
    <t>CA</t>
  </si>
  <si>
    <t>Chiffre d'affaires</t>
  </si>
  <si>
    <t>ST</t>
  </si>
  <si>
    <t>VA</t>
  </si>
  <si>
    <t>Valeur ajoutée</t>
  </si>
  <si>
    <t>VA = CA - Sous-traitance</t>
  </si>
  <si>
    <t>EFF</t>
  </si>
  <si>
    <t>Effectif fin année</t>
  </si>
  <si>
    <t>FP</t>
  </si>
  <si>
    <t>BN1</t>
  </si>
  <si>
    <t>Bénéfice après impôts</t>
  </si>
  <si>
    <t>EBE</t>
  </si>
  <si>
    <t>Excédent brut d'exploitation</t>
  </si>
  <si>
    <t>EBE = VA - Charges de personnel - Impôts et Taxes</t>
  </si>
  <si>
    <t>AMOR</t>
  </si>
  <si>
    <t>Amortissements</t>
  </si>
  <si>
    <t>ACH</t>
  </si>
  <si>
    <t>Achats externes hors ST</t>
  </si>
  <si>
    <t>Code ratio</t>
  </si>
  <si>
    <t>Ratio</t>
  </si>
  <si>
    <t>Moyenne % SSII</t>
  </si>
  <si>
    <t>ACT 2</t>
  </si>
  <si>
    <t>VA/CA</t>
  </si>
  <si>
    <t>Ratio &lt; 1, mesure le degré d'intégration verticale.  Plus le ratio est proche de 1, plus l'entreprise a intégré ses moyens de production et moins elle fait appel à la sous-traitance</t>
  </si>
  <si>
    <t>RENT ECO 2</t>
  </si>
  <si>
    <t>EBE/CA</t>
  </si>
  <si>
    <t>Taux de marge : aptitude de l'entreprise à fixer son prix de vente à un niveau plus ou moins élevé au dessus de son prix de revient. Permet d'apprécier la force ou la faiblesse de la position sur le marché de l'entreprise par rapport à celle de ses concurrents</t>
  </si>
  <si>
    <t>ACT 3</t>
  </si>
  <si>
    <t>VA/EFF</t>
  </si>
  <si>
    <t>C'est la valeur ajoutée par personne</t>
  </si>
  <si>
    <t>FP/CA</t>
  </si>
  <si>
    <t>C'est la part du CA consacrée à payer les salaires bruts</t>
  </si>
  <si>
    <t>ACT 4</t>
  </si>
  <si>
    <t>FP/VA</t>
  </si>
  <si>
    <t>Part des charges en personnel dans la VA. Plus le ratio est élevé, plus l'entreprise utilise beaucoup de main d'œuvre ou paye bien ses salariés à effectif comparable</t>
  </si>
  <si>
    <t>STRUC 6</t>
  </si>
  <si>
    <t>BN1/CA</t>
  </si>
  <si>
    <t>Capacité de l'entreprise à générer un bénéfice net à partir du CA HT</t>
  </si>
  <si>
    <t>AMOR/CA</t>
  </si>
  <si>
    <t>C'est la part du CA consacré à doter le compte d'amortissement.</t>
  </si>
  <si>
    <t>ACT 7</t>
  </si>
  <si>
    <t>AMOR/VA</t>
  </si>
  <si>
    <t>L'entreprise utilise-t-elle toutes les possibilités fiscales qui lui sont offertes ?</t>
  </si>
  <si>
    <t>ACH/CA</t>
  </si>
  <si>
    <t>C'est la part du CA consacrée aux achats</t>
  </si>
  <si>
    <t>Ratios de performance</t>
  </si>
  <si>
    <t>Ainet</t>
  </si>
  <si>
    <t>Bénéfice net après impôts</t>
  </si>
  <si>
    <t>CP</t>
  </si>
  <si>
    <t>Sécurité</t>
  </si>
  <si>
    <t>AI net/CP</t>
  </si>
  <si>
    <t>Croissance</t>
  </si>
  <si>
    <t>CA/AI net</t>
  </si>
  <si>
    <t>Profit</t>
  </si>
  <si>
    <t>Rentabilté économique</t>
  </si>
  <si>
    <t>Re = BN1/AI net</t>
  </si>
  <si>
    <t>Rentabilté financière</t>
  </si>
  <si>
    <t>Rf = BNI/CP</t>
  </si>
  <si>
    <t>Delta (ap.- Av.)</t>
  </si>
</sst>
</file>

<file path=xl/styles.xml><?xml version="1.0" encoding="utf-8"?>
<styleSheet xmlns="http://schemas.openxmlformats.org/spreadsheetml/2006/main">
  <numFmts count="7">
    <numFmt numFmtId="43" formatCode="_-* #,##0.00\ _€_-;\-* #,##0.00\ _€_-;_-* &quot;-&quot;??\ _€_-;_-@_-"/>
    <numFmt numFmtId="164" formatCode="#,##0.00\ ;\-#,##0.00"/>
    <numFmt numFmtId="165" formatCode="m/d/yyyy;@"/>
    <numFmt numFmtId="166" formatCode="#,##0.###############"/>
    <numFmt numFmtId="167" formatCode="&quot;$&quot;#,##0.00\ ;&quot;$&quot;\(#,##0.00\)"/>
    <numFmt numFmtId="168" formatCode="0.0"/>
    <numFmt numFmtId="169" formatCode="0.0000"/>
  </numFmts>
  <fonts count="479"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FF00FF"/>
      <name val="Arial"/>
    </font>
    <font>
      <b/>
      <i/>
      <sz val="10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8"/>
      <color rgb="FFFF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FF00FF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A4C2F4"/>
      <name val="Arial"/>
    </font>
    <font>
      <sz val="10"/>
      <color rgb="FFFF0000"/>
      <name val="Arial"/>
    </font>
    <font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2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FF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12"/>
      <color rgb="FF000000"/>
      <name val="Calibri"/>
    </font>
    <font>
      <sz val="10"/>
      <color rgb="FF000000"/>
      <name val="Arial"/>
    </font>
    <font>
      <b/>
      <sz val="8"/>
      <color rgb="FFFF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4A86E8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2"/>
      <color rgb="FF000000"/>
      <name val="Calibri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12"/>
      <color rgb="FFFF0000"/>
      <name val="Arial"/>
    </font>
    <font>
      <sz val="12"/>
      <color rgb="FF000000"/>
      <name val="Calibri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sz val="10"/>
      <color rgb="FF4A86E8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FF00FF"/>
      <name val="Arial"/>
    </font>
    <font>
      <sz val="8"/>
      <color rgb="FFFF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2"/>
      <color rgb="FF000000"/>
      <name val="Calibri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8"/>
      <color rgb="FFFF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8"/>
      <color rgb="FFFF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2"/>
      <color rgb="FF000000"/>
      <name val="Calibri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FF0000"/>
      <name val="Arial"/>
    </font>
    <font>
      <sz val="8"/>
      <color rgb="FFFF0000"/>
      <name val="Arial"/>
    </font>
    <font>
      <b/>
      <i/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2"/>
      <color rgb="FF000000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sz val="8"/>
      <color rgb="FF000000"/>
      <name val="Arial"/>
    </font>
    <font>
      <sz val="10"/>
      <color rgb="FF000000"/>
      <name val="Arial"/>
    </font>
    <font>
      <sz val="12"/>
      <color rgb="FF000000"/>
      <name val="Calibri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12"/>
      <color rgb="FF000000"/>
      <name val="Calibri"/>
    </font>
    <font>
      <sz val="8"/>
      <color rgb="FF000000"/>
      <name val="Arial"/>
    </font>
    <font>
      <sz val="10"/>
      <color rgb="FF6FA8DC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FF0000"/>
      <name val="Arial"/>
    </font>
    <font>
      <b/>
      <sz val="8"/>
      <color rgb="FF000000"/>
      <name val="Arial"/>
    </font>
    <font>
      <sz val="10"/>
      <color rgb="FFFF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FF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000000"/>
      <name val="Arial"/>
    </font>
    <font>
      <sz val="8"/>
      <color rgb="FFFF0000"/>
      <name val="Arial"/>
    </font>
    <font>
      <sz val="10"/>
      <color rgb="FF000000"/>
      <name val="Arial"/>
    </font>
    <font>
      <b/>
      <sz val="10"/>
      <color rgb="FF00000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4">
    <xf numFmtId="0" fontId="0" fillId="0" borderId="0" xfId="0" applyAlignment="1">
      <alignment wrapText="1"/>
    </xf>
    <xf numFmtId="2" fontId="1" fillId="0" borderId="1" xfId="0" applyNumberFormat="1" applyFont="1" applyBorder="1"/>
    <xf numFmtId="164" fontId="2" fillId="0" borderId="2" xfId="0" applyNumberFormat="1" applyFont="1" applyBorder="1" applyAlignment="1">
      <alignment horizontal="center"/>
    </xf>
    <xf numFmtId="2" fontId="3" fillId="0" borderId="3" xfId="0" applyNumberFormat="1" applyFont="1" applyBorder="1"/>
    <xf numFmtId="2" fontId="4" fillId="0" borderId="4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2" fontId="7" fillId="0" borderId="5" xfId="0" applyNumberFormat="1" applyFont="1" applyBorder="1"/>
    <xf numFmtId="2" fontId="8" fillId="0" borderId="6" xfId="0" applyNumberFormat="1" applyFont="1" applyBorder="1"/>
    <xf numFmtId="0" fontId="9" fillId="0" borderId="7" xfId="0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2" fillId="0" borderId="10" xfId="0" applyNumberFormat="1" applyFont="1" applyBorder="1"/>
    <xf numFmtId="2" fontId="13" fillId="0" borderId="0" xfId="0" applyNumberFormat="1" applyFont="1"/>
    <xf numFmtId="2" fontId="14" fillId="0" borderId="11" xfId="0" applyNumberFormat="1" applyFont="1" applyBorder="1"/>
    <xf numFmtId="0" fontId="15" fillId="0" borderId="12" xfId="0" applyFont="1" applyBorder="1" applyAlignment="1">
      <alignment horizontal="center"/>
    </xf>
    <xf numFmtId="0" fontId="16" fillId="0" borderId="13" xfId="0" applyFont="1" applyBorder="1"/>
    <xf numFmtId="4" fontId="17" fillId="0" borderId="14" xfId="0" applyNumberFormat="1" applyFont="1" applyBorder="1" applyAlignment="1">
      <alignment horizontal="center"/>
    </xf>
    <xf numFmtId="4" fontId="18" fillId="0" borderId="15" xfId="0" applyNumberFormat="1" applyFont="1" applyBorder="1"/>
    <xf numFmtId="2" fontId="19" fillId="2" borderId="16" xfId="0" applyNumberFormat="1" applyFont="1" applyFill="1" applyBorder="1" applyAlignment="1">
      <alignment horizontal="right"/>
    </xf>
    <xf numFmtId="4" fontId="20" fillId="0" borderId="0" xfId="0" applyNumberFormat="1" applyFont="1"/>
    <xf numFmtId="4" fontId="21" fillId="0" borderId="17" xfId="0" applyNumberFormat="1" applyFont="1" applyBorder="1" applyAlignment="1">
      <alignment horizontal="center"/>
    </xf>
    <xf numFmtId="2" fontId="22" fillId="0" borderId="18" xfId="0" applyNumberFormat="1" applyFont="1" applyBorder="1"/>
    <xf numFmtId="0" fontId="23" fillId="0" borderId="19" xfId="0" applyFont="1" applyBorder="1" applyAlignment="1">
      <alignment horizontal="center"/>
    </xf>
    <xf numFmtId="0" fontId="24" fillId="0" borderId="20" xfId="0" applyFont="1" applyBorder="1"/>
    <xf numFmtId="0" fontId="25" fillId="0" borderId="21" xfId="0" applyFont="1" applyBorder="1" applyAlignment="1">
      <alignment horizontal="center"/>
    </xf>
    <xf numFmtId="4" fontId="26" fillId="0" borderId="22" xfId="0" applyNumberFormat="1" applyFont="1" applyBorder="1" applyAlignment="1">
      <alignment horizontal="center"/>
    </xf>
    <xf numFmtId="0" fontId="27" fillId="0" borderId="23" xfId="0" applyFont="1" applyBorder="1"/>
    <xf numFmtId="0" fontId="28" fillId="3" borderId="24" xfId="0" applyFont="1" applyFill="1" applyBorder="1"/>
    <xf numFmtId="1" fontId="29" fillId="0" borderId="25" xfId="0" applyNumberFormat="1" applyFont="1" applyBorder="1" applyAlignment="1">
      <alignment horizontal="center"/>
    </xf>
    <xf numFmtId="4" fontId="30" fillId="0" borderId="26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2" fillId="0" borderId="27" xfId="0" applyFont="1" applyBorder="1"/>
    <xf numFmtId="4" fontId="33" fillId="0" borderId="28" xfId="0" applyNumberFormat="1" applyFont="1" applyBorder="1" applyAlignment="1">
      <alignment horizontal="right"/>
    </xf>
    <xf numFmtId="4" fontId="34" fillId="0" borderId="29" xfId="0" applyNumberFormat="1" applyFont="1" applyBorder="1" applyAlignment="1">
      <alignment horizontal="center"/>
    </xf>
    <xf numFmtId="0" fontId="35" fillId="0" borderId="30" xfId="0" applyFont="1" applyBorder="1" applyAlignment="1">
      <alignment horizontal="left"/>
    </xf>
    <xf numFmtId="4" fontId="37" fillId="0" borderId="32" xfId="0" applyNumberFormat="1" applyFont="1" applyBorder="1"/>
    <xf numFmtId="0" fontId="38" fillId="0" borderId="33" xfId="0" applyFont="1" applyBorder="1"/>
    <xf numFmtId="4" fontId="40" fillId="0" borderId="0" xfId="0" applyNumberFormat="1" applyFont="1" applyAlignment="1">
      <alignment horizontal="center"/>
    </xf>
    <xf numFmtId="0" fontId="41" fillId="0" borderId="35" xfId="0" applyFont="1" applyBorder="1"/>
    <xf numFmtId="0" fontId="42" fillId="0" borderId="36" xfId="0" applyFont="1" applyBorder="1"/>
    <xf numFmtId="0" fontId="43" fillId="0" borderId="37" xfId="0" applyFont="1" applyBorder="1"/>
    <xf numFmtId="2" fontId="44" fillId="0" borderId="38" xfId="0" applyNumberFormat="1" applyFont="1" applyBorder="1" applyAlignment="1">
      <alignment horizontal="center"/>
    </xf>
    <xf numFmtId="2" fontId="45" fillId="0" borderId="39" xfId="0" applyNumberFormat="1" applyFont="1" applyBorder="1"/>
    <xf numFmtId="2" fontId="46" fillId="0" borderId="40" xfId="0" applyNumberFormat="1" applyFont="1" applyBorder="1"/>
    <xf numFmtId="10" fontId="47" fillId="0" borderId="41" xfId="0" applyNumberFormat="1" applyFont="1" applyBorder="1"/>
    <xf numFmtId="0" fontId="48" fillId="0" borderId="42" xfId="0" applyFont="1" applyBorder="1"/>
    <xf numFmtId="4" fontId="50" fillId="0" borderId="44" xfId="0" applyNumberFormat="1" applyFont="1" applyBorder="1" applyAlignment="1">
      <alignment vertical="center"/>
    </xf>
    <xf numFmtId="166" fontId="51" fillId="0" borderId="45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2" fontId="53" fillId="0" borderId="46" xfId="0" applyNumberFormat="1" applyFont="1" applyBorder="1"/>
    <xf numFmtId="2" fontId="54" fillId="0" borderId="47" xfId="0" applyNumberFormat="1" applyFont="1" applyBorder="1"/>
    <xf numFmtId="0" fontId="55" fillId="0" borderId="48" xfId="0" applyFont="1" applyBorder="1"/>
    <xf numFmtId="4" fontId="56" fillId="0" borderId="49" xfId="0" applyNumberFormat="1" applyFont="1" applyBorder="1"/>
    <xf numFmtId="0" fontId="57" fillId="0" borderId="50" xfId="0" applyFont="1" applyBorder="1" applyAlignment="1">
      <alignment horizontal="center"/>
    </xf>
    <xf numFmtId="0" fontId="58" fillId="4" borderId="51" xfId="0" applyFont="1" applyFill="1" applyBorder="1"/>
    <xf numFmtId="1" fontId="59" fillId="0" borderId="52" xfId="0" applyNumberFormat="1" applyFont="1" applyBorder="1" applyAlignment="1">
      <alignment horizontal="center"/>
    </xf>
    <xf numFmtId="0" fontId="60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/>
    </xf>
    <xf numFmtId="0" fontId="63" fillId="0" borderId="56" xfId="0" applyFont="1" applyBorder="1" applyAlignment="1">
      <alignment horizontal="center" vertical="center" wrapText="1"/>
    </xf>
    <xf numFmtId="4" fontId="64" fillId="0" borderId="57" xfId="0" applyNumberFormat="1" applyFont="1" applyBorder="1"/>
    <xf numFmtId="4" fontId="65" fillId="0" borderId="58" xfId="0" applyNumberFormat="1" applyFont="1" applyBorder="1" applyAlignment="1">
      <alignment horizontal="right"/>
    </xf>
    <xf numFmtId="0" fontId="66" fillId="0" borderId="59" xfId="0" applyFont="1" applyBorder="1"/>
    <xf numFmtId="0" fontId="67" fillId="0" borderId="60" xfId="0" applyFont="1" applyBorder="1"/>
    <xf numFmtId="2" fontId="68" fillId="0" borderId="61" xfId="0" applyNumberFormat="1" applyFont="1" applyBorder="1"/>
    <xf numFmtId="0" fontId="69" fillId="0" borderId="0" xfId="0" applyFont="1"/>
    <xf numFmtId="0" fontId="70" fillId="0" borderId="62" xfId="0" applyFont="1" applyBorder="1"/>
    <xf numFmtId="1" fontId="72" fillId="0" borderId="64" xfId="0" applyNumberFormat="1" applyFont="1" applyBorder="1" applyAlignment="1">
      <alignment horizontal="center"/>
    </xf>
    <xf numFmtId="0" fontId="73" fillId="0" borderId="0" xfId="0" applyFont="1" applyAlignment="1">
      <alignment horizontal="center" vertical="center"/>
    </xf>
    <xf numFmtId="3" fontId="74" fillId="0" borderId="65" xfId="0" applyNumberFormat="1" applyFont="1" applyBorder="1"/>
    <xf numFmtId="0" fontId="75" fillId="0" borderId="66" xfId="0" applyFont="1" applyBorder="1" applyAlignment="1">
      <alignment horizontal="center" vertical="center"/>
    </xf>
    <xf numFmtId="0" fontId="78" fillId="0" borderId="69" xfId="0" applyFont="1" applyBorder="1" applyAlignment="1">
      <alignment horizontal="center"/>
    </xf>
    <xf numFmtId="2" fontId="79" fillId="0" borderId="70" xfId="0" applyNumberFormat="1" applyFont="1" applyBorder="1"/>
    <xf numFmtId="2" fontId="80" fillId="0" borderId="71" xfId="0" applyNumberFormat="1" applyFont="1" applyBorder="1"/>
    <xf numFmtId="1" fontId="81" fillId="0" borderId="72" xfId="0" applyNumberFormat="1" applyFont="1" applyBorder="1" applyAlignment="1">
      <alignment horizontal="center"/>
    </xf>
    <xf numFmtId="2" fontId="82" fillId="0" borderId="73" xfId="0" applyNumberFormat="1" applyFont="1" applyBorder="1"/>
    <xf numFmtId="4" fontId="85" fillId="0" borderId="76" xfId="0" applyNumberFormat="1" applyFont="1" applyBorder="1" applyAlignment="1">
      <alignment vertical="center" wrapText="1"/>
    </xf>
    <xf numFmtId="0" fontId="86" fillId="0" borderId="77" xfId="0" applyFont="1" applyBorder="1" applyAlignment="1">
      <alignment vertical="center" wrapText="1"/>
    </xf>
    <xf numFmtId="0" fontId="87" fillId="0" borderId="78" xfId="0" applyFont="1" applyBorder="1"/>
    <xf numFmtId="9" fontId="88" fillId="0" borderId="79" xfId="0" applyNumberFormat="1" applyFont="1" applyBorder="1" applyAlignment="1">
      <alignment horizontal="center"/>
    </xf>
    <xf numFmtId="1" fontId="89" fillId="0" borderId="80" xfId="0" applyNumberFormat="1" applyFont="1" applyBorder="1" applyAlignment="1">
      <alignment horizontal="center"/>
    </xf>
    <xf numFmtId="0" fontId="90" fillId="0" borderId="81" xfId="0" applyFont="1" applyBorder="1" applyAlignment="1">
      <alignment vertical="center" wrapText="1"/>
    </xf>
    <xf numFmtId="0" fontId="91" fillId="0" borderId="82" xfId="0" applyFont="1" applyBorder="1"/>
    <xf numFmtId="4" fontId="92" fillId="0" borderId="83" xfId="0" applyNumberFormat="1" applyFont="1" applyBorder="1"/>
    <xf numFmtId="2" fontId="93" fillId="0" borderId="84" xfId="0" applyNumberFormat="1" applyFont="1" applyBorder="1"/>
    <xf numFmtId="2" fontId="94" fillId="0" borderId="85" xfId="0" applyNumberFormat="1" applyFont="1" applyBorder="1"/>
    <xf numFmtId="2" fontId="95" fillId="0" borderId="86" xfId="0" applyNumberFormat="1" applyFont="1" applyBorder="1" applyAlignment="1">
      <alignment horizontal="right"/>
    </xf>
    <xf numFmtId="167" fontId="96" fillId="0" borderId="0" xfId="0" applyNumberFormat="1" applyFont="1"/>
    <xf numFmtId="0" fontId="97" fillId="0" borderId="87" xfId="0" applyFont="1" applyBorder="1"/>
    <xf numFmtId="0" fontId="98" fillId="0" borderId="88" xfId="0" applyFont="1" applyBorder="1"/>
    <xf numFmtId="1" fontId="100" fillId="0" borderId="90" xfId="0" applyNumberFormat="1" applyFont="1" applyBorder="1"/>
    <xf numFmtId="2" fontId="101" fillId="0" borderId="91" xfId="0" applyNumberFormat="1" applyFont="1" applyBorder="1"/>
    <xf numFmtId="4" fontId="102" fillId="5" borderId="92" xfId="0" applyNumberFormat="1" applyFont="1" applyFill="1" applyBorder="1"/>
    <xf numFmtId="0" fontId="103" fillId="0" borderId="93" xfId="0" applyFont="1" applyBorder="1" applyAlignment="1">
      <alignment vertical="center" wrapText="1"/>
    </xf>
    <xf numFmtId="4" fontId="104" fillId="0" borderId="94" xfId="0" applyNumberFormat="1" applyFont="1" applyBorder="1" applyAlignment="1">
      <alignment horizontal="center"/>
    </xf>
    <xf numFmtId="4" fontId="105" fillId="0" borderId="95" xfId="0" applyNumberFormat="1" applyFont="1" applyBorder="1"/>
    <xf numFmtId="0" fontId="106" fillId="0" borderId="96" xfId="0" applyFont="1" applyBorder="1"/>
    <xf numFmtId="2" fontId="107" fillId="0" borderId="97" xfId="0" applyNumberFormat="1" applyFont="1" applyBorder="1" applyAlignment="1">
      <alignment horizontal="center"/>
    </xf>
    <xf numFmtId="0" fontId="108" fillId="6" borderId="98" xfId="0" applyFont="1" applyFill="1" applyBorder="1" applyAlignment="1">
      <alignment horizontal="center"/>
    </xf>
    <xf numFmtId="2" fontId="109" fillId="0" borderId="99" xfId="0" applyNumberFormat="1" applyFont="1" applyBorder="1" applyAlignment="1">
      <alignment horizontal="center"/>
    </xf>
    <xf numFmtId="0" fontId="110" fillId="0" borderId="100" xfId="0" applyFont="1" applyBorder="1" applyAlignment="1">
      <alignment horizontal="center"/>
    </xf>
    <xf numFmtId="1" fontId="111" fillId="0" borderId="101" xfId="0" applyNumberFormat="1" applyFont="1" applyBorder="1" applyAlignment="1">
      <alignment horizontal="center"/>
    </xf>
    <xf numFmtId="2" fontId="112" fillId="0" borderId="102" xfId="0" applyNumberFormat="1" applyFont="1" applyBorder="1"/>
    <xf numFmtId="10" fontId="113" fillId="0" borderId="103" xfId="0" applyNumberFormat="1" applyFont="1" applyBorder="1"/>
    <xf numFmtId="0" fontId="114" fillId="0" borderId="104" xfId="0" applyFont="1" applyBorder="1"/>
    <xf numFmtId="0" fontId="115" fillId="0" borderId="105" xfId="0" applyFont="1" applyBorder="1" applyAlignment="1">
      <alignment wrapText="1"/>
    </xf>
    <xf numFmtId="0" fontId="116" fillId="0" borderId="106" xfId="0" applyFont="1" applyBorder="1" applyAlignment="1">
      <alignment horizontal="center" vertical="center" wrapText="1"/>
    </xf>
    <xf numFmtId="0" fontId="117" fillId="7" borderId="107" xfId="0" applyFont="1" applyFill="1" applyBorder="1" applyAlignment="1">
      <alignment horizontal="center"/>
    </xf>
    <xf numFmtId="2" fontId="118" fillId="0" borderId="108" xfId="0" applyNumberFormat="1" applyFont="1" applyBorder="1" applyAlignment="1">
      <alignment horizontal="center"/>
    </xf>
    <xf numFmtId="0" fontId="119" fillId="0" borderId="109" xfId="0" applyFont="1" applyBorder="1" applyAlignment="1">
      <alignment horizontal="center"/>
    </xf>
    <xf numFmtId="0" fontId="120" fillId="8" borderId="110" xfId="0" applyFont="1" applyFill="1" applyBorder="1"/>
    <xf numFmtId="2" fontId="121" fillId="0" borderId="111" xfId="0" applyNumberFormat="1" applyFont="1" applyBorder="1" applyAlignment="1">
      <alignment horizontal="center"/>
    </xf>
    <xf numFmtId="2" fontId="122" fillId="9" borderId="112" xfId="0" applyNumberFormat="1" applyFont="1" applyFill="1" applyBorder="1"/>
    <xf numFmtId="4" fontId="123" fillId="0" borderId="113" xfId="0" applyNumberFormat="1" applyFont="1" applyBorder="1"/>
    <xf numFmtId="0" fontId="124" fillId="0" borderId="114" xfId="0" applyFont="1" applyBorder="1" applyAlignment="1">
      <alignment vertical="center" wrapText="1"/>
    </xf>
    <xf numFmtId="2" fontId="125" fillId="0" borderId="115" xfId="0" applyNumberFormat="1" applyFont="1" applyBorder="1"/>
    <xf numFmtId="1" fontId="126" fillId="0" borderId="116" xfId="0" applyNumberFormat="1" applyFont="1" applyBorder="1" applyAlignment="1">
      <alignment horizontal="center"/>
    </xf>
    <xf numFmtId="0" fontId="127" fillId="0" borderId="117" xfId="0" applyFont="1" applyBorder="1"/>
    <xf numFmtId="0" fontId="128" fillId="0" borderId="118" xfId="0" applyFont="1" applyBorder="1" applyAlignment="1">
      <alignment horizontal="center"/>
    </xf>
    <xf numFmtId="4" fontId="129" fillId="0" borderId="119" xfId="0" applyNumberFormat="1" applyFont="1" applyBorder="1"/>
    <xf numFmtId="2" fontId="130" fillId="0" borderId="120" xfId="0" applyNumberFormat="1" applyFont="1" applyBorder="1"/>
    <xf numFmtId="0" fontId="132" fillId="0" borderId="122" xfId="0" applyFont="1" applyBorder="1" applyAlignment="1">
      <alignment wrapText="1"/>
    </xf>
    <xf numFmtId="2" fontId="133" fillId="0" borderId="123" xfId="0" applyNumberFormat="1" applyFont="1" applyBorder="1"/>
    <xf numFmtId="0" fontId="134" fillId="0" borderId="124" xfId="0" applyFont="1" applyBorder="1"/>
    <xf numFmtId="0" fontId="135" fillId="0" borderId="0" xfId="0" applyFont="1" applyAlignment="1">
      <alignment horizontal="center"/>
    </xf>
    <xf numFmtId="0" fontId="136" fillId="0" borderId="125" xfId="0" applyFont="1" applyBorder="1"/>
    <xf numFmtId="4" fontId="137" fillId="0" borderId="126" xfId="0" applyNumberFormat="1" applyFont="1" applyBorder="1"/>
    <xf numFmtId="0" fontId="138" fillId="0" borderId="127" xfId="0" applyFont="1" applyBorder="1" applyAlignment="1">
      <alignment horizontal="center"/>
    </xf>
    <xf numFmtId="0" fontId="139" fillId="0" borderId="128" xfId="0" applyFont="1" applyBorder="1" applyAlignment="1">
      <alignment horizontal="right"/>
    </xf>
    <xf numFmtId="168" fontId="140" fillId="0" borderId="129" xfId="0" applyNumberFormat="1" applyFont="1" applyBorder="1" applyAlignment="1">
      <alignment horizontal="center"/>
    </xf>
    <xf numFmtId="2" fontId="141" fillId="0" borderId="130" xfId="0" applyNumberFormat="1" applyFont="1" applyBorder="1"/>
    <xf numFmtId="0" fontId="142" fillId="0" borderId="0" xfId="0" applyFont="1" applyAlignment="1">
      <alignment horizontal="center"/>
    </xf>
    <xf numFmtId="0" fontId="143" fillId="10" borderId="131" xfId="0" applyFont="1" applyFill="1" applyBorder="1"/>
    <xf numFmtId="0" fontId="144" fillId="11" borderId="132" xfId="0" applyFont="1" applyFill="1" applyBorder="1"/>
    <xf numFmtId="0" fontId="145" fillId="12" borderId="133" xfId="0" applyFont="1" applyFill="1" applyBorder="1" applyAlignment="1">
      <alignment horizontal="center"/>
    </xf>
    <xf numFmtId="2" fontId="146" fillId="0" borderId="134" xfId="0" applyNumberFormat="1" applyFont="1" applyBorder="1"/>
    <xf numFmtId="0" fontId="147" fillId="0" borderId="135" xfId="0" applyFont="1" applyBorder="1"/>
    <xf numFmtId="4" fontId="148" fillId="0" borderId="136" xfId="0" applyNumberFormat="1" applyFont="1" applyBorder="1"/>
    <xf numFmtId="166" fontId="150" fillId="0" borderId="138" xfId="0" applyNumberFormat="1" applyFont="1" applyBorder="1" applyAlignment="1">
      <alignment horizontal="center"/>
    </xf>
    <xf numFmtId="4" fontId="152" fillId="0" borderId="140" xfId="0" applyNumberFormat="1" applyFont="1" applyBorder="1"/>
    <xf numFmtId="4" fontId="153" fillId="0" borderId="141" xfId="0" applyNumberFormat="1" applyFont="1" applyBorder="1"/>
    <xf numFmtId="2" fontId="157" fillId="13" borderId="145" xfId="0" applyNumberFormat="1" applyFont="1" applyFill="1" applyBorder="1"/>
    <xf numFmtId="0" fontId="158" fillId="0" borderId="146" xfId="0" applyFont="1" applyBorder="1"/>
    <xf numFmtId="4" fontId="159" fillId="14" borderId="147" xfId="0" applyNumberFormat="1" applyFont="1" applyFill="1" applyBorder="1" applyAlignment="1">
      <alignment horizontal="center"/>
    </xf>
    <xf numFmtId="43" fontId="160" fillId="0" borderId="148" xfId="0" applyNumberFormat="1" applyFont="1" applyBorder="1"/>
    <xf numFmtId="0" fontId="161" fillId="0" borderId="0" xfId="0" applyFont="1" applyAlignment="1">
      <alignment horizontal="left"/>
    </xf>
    <xf numFmtId="4" fontId="162" fillId="0" borderId="0" xfId="0" applyNumberFormat="1" applyFont="1" applyAlignment="1">
      <alignment vertical="center"/>
    </xf>
    <xf numFmtId="4" fontId="163" fillId="0" borderId="149" xfId="0" applyNumberFormat="1" applyFont="1" applyBorder="1"/>
    <xf numFmtId="0" fontId="164" fillId="0" borderId="150" xfId="0" applyFont="1" applyBorder="1" applyAlignment="1">
      <alignment vertical="center" wrapText="1"/>
    </xf>
    <xf numFmtId="0" fontId="165" fillId="0" borderId="151" xfId="0" applyFont="1" applyBorder="1" applyAlignment="1">
      <alignment horizontal="center" vertical="center" wrapText="1"/>
    </xf>
    <xf numFmtId="2" fontId="166" fillId="0" borderId="152" xfId="0" applyNumberFormat="1" applyFont="1" applyBorder="1"/>
    <xf numFmtId="168" fontId="167" fillId="0" borderId="153" xfId="0" applyNumberFormat="1" applyFont="1" applyBorder="1"/>
    <xf numFmtId="0" fontId="169" fillId="15" borderId="0" xfId="0" applyFont="1" applyFill="1" applyAlignment="1">
      <alignment horizontal="left"/>
    </xf>
    <xf numFmtId="0" fontId="170" fillId="0" borderId="155" xfId="0" applyFont="1" applyBorder="1" applyAlignment="1">
      <alignment horizontal="center"/>
    </xf>
    <xf numFmtId="3" fontId="171" fillId="0" borderId="156" xfId="0" applyNumberFormat="1" applyFont="1" applyBorder="1" applyAlignment="1">
      <alignment horizontal="center"/>
    </xf>
    <xf numFmtId="0" fontId="172" fillId="0" borderId="157" xfId="0" applyFont="1" applyBorder="1" applyAlignment="1">
      <alignment vertical="center" wrapText="1"/>
    </xf>
    <xf numFmtId="4" fontId="173" fillId="0" borderId="158" xfId="0" applyNumberFormat="1" applyFont="1" applyBorder="1"/>
    <xf numFmtId="0" fontId="174" fillId="0" borderId="159" xfId="0" applyFont="1" applyBorder="1" applyAlignment="1">
      <alignment horizontal="center"/>
    </xf>
    <xf numFmtId="4" fontId="175" fillId="0" borderId="160" xfId="0" applyNumberFormat="1" applyFont="1" applyBorder="1"/>
    <xf numFmtId="2" fontId="176" fillId="0" borderId="161" xfId="0" applyNumberFormat="1" applyFont="1" applyBorder="1"/>
    <xf numFmtId="0" fontId="178" fillId="0" borderId="163" xfId="0" applyFont="1" applyBorder="1"/>
    <xf numFmtId="2" fontId="179" fillId="0" borderId="164" xfId="0" applyNumberFormat="1" applyFont="1" applyBorder="1" applyAlignment="1">
      <alignment horizontal="right"/>
    </xf>
    <xf numFmtId="0" fontId="180" fillId="0" borderId="165" xfId="0" applyFont="1" applyBorder="1" applyAlignment="1">
      <alignment vertical="center"/>
    </xf>
    <xf numFmtId="0" fontId="181" fillId="0" borderId="166" xfId="0" applyFont="1" applyBorder="1" applyAlignment="1">
      <alignment horizontal="center"/>
    </xf>
    <xf numFmtId="4" fontId="182" fillId="0" borderId="167" xfId="0" applyNumberFormat="1" applyFont="1" applyBorder="1"/>
    <xf numFmtId="4" fontId="184" fillId="0" borderId="169" xfId="0" applyNumberFormat="1" applyFont="1" applyBorder="1" applyAlignment="1">
      <alignment horizontal="right"/>
    </xf>
    <xf numFmtId="4" fontId="185" fillId="0" borderId="170" xfId="0" applyNumberFormat="1" applyFont="1" applyBorder="1"/>
    <xf numFmtId="0" fontId="186" fillId="0" borderId="171" xfId="0" applyFont="1" applyBorder="1"/>
    <xf numFmtId="0" fontId="188" fillId="0" borderId="0" xfId="0" applyFont="1"/>
    <xf numFmtId="0" fontId="189" fillId="16" borderId="173" xfId="0" applyFont="1" applyFill="1" applyBorder="1"/>
    <xf numFmtId="2" fontId="190" fillId="0" borderId="174" xfId="0" applyNumberFormat="1" applyFont="1" applyBorder="1" applyAlignment="1">
      <alignment horizontal="center"/>
    </xf>
    <xf numFmtId="0" fontId="191" fillId="0" borderId="175" xfId="0" applyFont="1" applyBorder="1" applyAlignment="1">
      <alignment horizontal="center" vertical="center"/>
    </xf>
    <xf numFmtId="0" fontId="192" fillId="0" borderId="0" xfId="0" applyFont="1" applyAlignment="1">
      <alignment horizontal="left" vertical="center" wrapText="1"/>
    </xf>
    <xf numFmtId="0" fontId="193" fillId="0" borderId="176" xfId="0" applyFont="1" applyBorder="1" applyAlignment="1">
      <alignment horizontal="center"/>
    </xf>
    <xf numFmtId="0" fontId="194" fillId="0" borderId="177" xfId="0" applyFont="1" applyBorder="1"/>
    <xf numFmtId="4" fontId="195" fillId="0" borderId="178" xfId="0" applyNumberFormat="1" applyFont="1" applyBorder="1"/>
    <xf numFmtId="10" fontId="196" fillId="0" borderId="179" xfId="0" applyNumberFormat="1" applyFont="1" applyBorder="1" applyAlignment="1">
      <alignment horizontal="center"/>
    </xf>
    <xf numFmtId="49" fontId="197" fillId="0" borderId="180" xfId="0" applyNumberFormat="1" applyFont="1" applyBorder="1" applyAlignment="1">
      <alignment horizontal="right"/>
    </xf>
    <xf numFmtId="0" fontId="198" fillId="0" borderId="181" xfId="0" applyFont="1" applyBorder="1"/>
    <xf numFmtId="2" fontId="199" fillId="0" borderId="182" xfId="0" applyNumberFormat="1" applyFont="1" applyBorder="1" applyAlignment="1">
      <alignment horizontal="center"/>
    </xf>
    <xf numFmtId="2" fontId="200" fillId="0" borderId="0" xfId="0" applyNumberFormat="1" applyFont="1"/>
    <xf numFmtId="2" fontId="201" fillId="0" borderId="183" xfId="0" applyNumberFormat="1" applyFont="1" applyBorder="1" applyAlignment="1">
      <alignment horizontal="center"/>
    </xf>
    <xf numFmtId="0" fontId="202" fillId="0" borderId="184" xfId="0" applyFont="1" applyBorder="1" applyAlignment="1">
      <alignment horizontal="center" vertical="center" wrapText="1"/>
    </xf>
    <xf numFmtId="4" fontId="203" fillId="0" borderId="0" xfId="0" applyNumberFormat="1" applyFont="1" applyAlignment="1">
      <alignment horizontal="center"/>
    </xf>
    <xf numFmtId="0" fontId="204" fillId="0" borderId="185" xfId="0" applyFont="1" applyBorder="1"/>
    <xf numFmtId="4" fontId="205" fillId="0" borderId="186" xfId="0" applyNumberFormat="1" applyFont="1" applyBorder="1"/>
    <xf numFmtId="2" fontId="206" fillId="0" borderId="0" xfId="0" applyNumberFormat="1" applyFont="1"/>
    <xf numFmtId="0" fontId="207" fillId="0" borderId="187" xfId="0" applyFont="1" applyBorder="1"/>
    <xf numFmtId="0" fontId="208" fillId="0" borderId="0" xfId="0" applyFont="1" applyAlignment="1">
      <alignment horizontal="right"/>
    </xf>
    <xf numFmtId="0" fontId="209" fillId="0" borderId="188" xfId="0" applyFont="1" applyBorder="1" applyAlignment="1">
      <alignment horizontal="center" vertical="center" wrapText="1"/>
    </xf>
    <xf numFmtId="0" fontId="210" fillId="0" borderId="189" xfId="0" applyFont="1" applyBorder="1"/>
    <xf numFmtId="0" fontId="211" fillId="0" borderId="190" xfId="0" applyFont="1" applyBorder="1" applyAlignment="1">
      <alignment horizontal="center"/>
    </xf>
    <xf numFmtId="2" fontId="212" fillId="0" borderId="191" xfId="0" applyNumberFormat="1" applyFont="1" applyBorder="1" applyAlignment="1">
      <alignment horizontal="center"/>
    </xf>
    <xf numFmtId="2" fontId="213" fillId="0" borderId="192" xfId="0" applyNumberFormat="1" applyFont="1" applyBorder="1"/>
    <xf numFmtId="0" fontId="214" fillId="0" borderId="193" xfId="0" applyFont="1" applyBorder="1"/>
    <xf numFmtId="0" fontId="215" fillId="17" borderId="0" xfId="0" applyFont="1" applyFill="1"/>
    <xf numFmtId="0" fontId="216" fillId="0" borderId="194" xfId="0" applyFont="1" applyBorder="1" applyAlignment="1">
      <alignment vertical="center"/>
    </xf>
    <xf numFmtId="10" fontId="217" fillId="0" borderId="195" xfId="0" applyNumberFormat="1" applyFont="1" applyBorder="1" applyAlignment="1">
      <alignment horizontal="center"/>
    </xf>
    <xf numFmtId="0" fontId="218" fillId="0" borderId="196" xfId="0" applyFont="1" applyBorder="1"/>
    <xf numFmtId="0" fontId="219" fillId="0" borderId="197" xfId="0" applyFont="1" applyBorder="1"/>
    <xf numFmtId="2" fontId="220" fillId="0" borderId="198" xfId="0" applyNumberFormat="1" applyFont="1" applyBorder="1" applyAlignment="1">
      <alignment horizontal="left"/>
    </xf>
    <xf numFmtId="0" fontId="221" fillId="0" borderId="199" xfId="0" applyFont="1" applyBorder="1"/>
    <xf numFmtId="0" fontId="222" fillId="0" borderId="0" xfId="0" applyFont="1" applyAlignment="1">
      <alignment horizontal="left"/>
    </xf>
    <xf numFmtId="0" fontId="223" fillId="18" borderId="200" xfId="0" applyFont="1" applyFill="1" applyBorder="1"/>
    <xf numFmtId="0" fontId="224" fillId="0" borderId="201" xfId="0" applyFont="1" applyBorder="1"/>
    <xf numFmtId="2" fontId="225" fillId="0" borderId="202" xfId="0" applyNumberFormat="1" applyFont="1" applyBorder="1"/>
    <xf numFmtId="0" fontId="226" fillId="0" borderId="203" xfId="0" applyFont="1" applyBorder="1" applyAlignment="1">
      <alignment horizontal="center"/>
    </xf>
    <xf numFmtId="2" fontId="228" fillId="0" borderId="0" xfId="0" applyNumberFormat="1" applyFont="1"/>
    <xf numFmtId="2" fontId="230" fillId="0" borderId="206" xfId="0" applyNumberFormat="1" applyFont="1" applyBorder="1" applyAlignment="1">
      <alignment horizontal="center"/>
    </xf>
    <xf numFmtId="0" fontId="231" fillId="0" borderId="207" xfId="0" applyFont="1" applyBorder="1" applyAlignment="1">
      <alignment horizontal="center" vertical="center"/>
    </xf>
    <xf numFmtId="2" fontId="232" fillId="19" borderId="208" xfId="0" applyNumberFormat="1" applyFont="1" applyFill="1" applyBorder="1"/>
    <xf numFmtId="0" fontId="233" fillId="0" borderId="209" xfId="0" applyFont="1" applyBorder="1" applyAlignment="1">
      <alignment vertical="center" wrapText="1"/>
    </xf>
    <xf numFmtId="2" fontId="234" fillId="0" borderId="210" xfId="0" applyNumberFormat="1" applyFont="1" applyBorder="1"/>
    <xf numFmtId="4" fontId="235" fillId="0" borderId="0" xfId="0" applyNumberFormat="1" applyFont="1"/>
    <xf numFmtId="0" fontId="236" fillId="0" borderId="211" xfId="0" applyFont="1" applyBorder="1" applyAlignment="1">
      <alignment horizontal="center"/>
    </xf>
    <xf numFmtId="0" fontId="237" fillId="0" borderId="212" xfId="0" applyFont="1" applyBorder="1" applyAlignment="1">
      <alignment horizontal="center" vertical="center" wrapText="1"/>
    </xf>
    <xf numFmtId="4" fontId="238" fillId="0" borderId="0" xfId="0" applyNumberFormat="1" applyFont="1"/>
    <xf numFmtId="4" fontId="240" fillId="0" borderId="214" xfId="0" applyNumberFormat="1" applyFont="1" applyBorder="1"/>
    <xf numFmtId="0" fontId="241" fillId="0" borderId="215" xfId="0" applyFont="1" applyBorder="1" applyAlignment="1">
      <alignment horizontal="center"/>
    </xf>
    <xf numFmtId="49" fontId="242" fillId="0" borderId="216" xfId="0" applyNumberFormat="1" applyFont="1" applyBorder="1" applyAlignment="1">
      <alignment horizontal="left"/>
    </xf>
    <xf numFmtId="0" fontId="0" fillId="0" borderId="217" xfId="0" applyBorder="1" applyAlignment="1">
      <alignment wrapText="1"/>
    </xf>
    <xf numFmtId="10" fontId="243" fillId="0" borderId="218" xfId="0" applyNumberFormat="1" applyFont="1" applyBorder="1"/>
    <xf numFmtId="2" fontId="244" fillId="0" borderId="219" xfId="0" applyNumberFormat="1" applyFont="1" applyBorder="1" applyAlignment="1">
      <alignment horizontal="center"/>
    </xf>
    <xf numFmtId="2" fontId="245" fillId="0" borderId="220" xfId="0" applyNumberFormat="1" applyFont="1" applyBorder="1" applyAlignment="1">
      <alignment horizontal="center"/>
    </xf>
    <xf numFmtId="0" fontId="246" fillId="0" borderId="221" xfId="0" applyFont="1" applyBorder="1" applyAlignment="1">
      <alignment horizontal="center"/>
    </xf>
    <xf numFmtId="0" fontId="247" fillId="0" borderId="222" xfId="0" applyFont="1" applyBorder="1" applyAlignment="1">
      <alignment horizontal="center"/>
    </xf>
    <xf numFmtId="1" fontId="248" fillId="0" borderId="223" xfId="0" applyNumberFormat="1" applyFont="1" applyBorder="1" applyAlignment="1">
      <alignment horizontal="center"/>
    </xf>
    <xf numFmtId="0" fontId="249" fillId="0" borderId="224" xfId="0" applyFont="1" applyBorder="1"/>
    <xf numFmtId="0" fontId="250" fillId="0" borderId="225" xfId="0" applyFont="1" applyBorder="1"/>
    <xf numFmtId="10" fontId="251" fillId="0" borderId="0" xfId="0" applyNumberFormat="1" applyFont="1" applyAlignment="1">
      <alignment horizontal="center" vertical="center"/>
    </xf>
    <xf numFmtId="0" fontId="252" fillId="0" borderId="226" xfId="0" applyFont="1" applyBorder="1"/>
    <xf numFmtId="1" fontId="253" fillId="20" borderId="227" xfId="0" applyNumberFormat="1" applyFont="1" applyFill="1" applyBorder="1" applyAlignment="1">
      <alignment horizontal="center"/>
    </xf>
    <xf numFmtId="169" fontId="254" fillId="0" borderId="0" xfId="0" applyNumberFormat="1" applyFont="1"/>
    <xf numFmtId="4" fontId="255" fillId="0" borderId="228" xfId="0" applyNumberFormat="1" applyFont="1" applyBorder="1"/>
    <xf numFmtId="0" fontId="256" fillId="0" borderId="229" xfId="0" applyFont="1" applyBorder="1" applyAlignment="1">
      <alignment horizontal="center" vertical="center" wrapText="1"/>
    </xf>
    <xf numFmtId="10" fontId="258" fillId="0" borderId="231" xfId="0" applyNumberFormat="1" applyFont="1" applyBorder="1" applyAlignment="1">
      <alignment horizontal="center" vertical="center"/>
    </xf>
    <xf numFmtId="4" fontId="259" fillId="0" borderId="232" xfId="0" applyNumberFormat="1" applyFont="1" applyBorder="1"/>
    <xf numFmtId="1" fontId="260" fillId="0" borderId="233" xfId="0" applyNumberFormat="1" applyFont="1" applyBorder="1" applyAlignment="1">
      <alignment horizontal="center"/>
    </xf>
    <xf numFmtId="10" fontId="261" fillId="0" borderId="234" xfId="0" applyNumberFormat="1" applyFont="1" applyBorder="1"/>
    <xf numFmtId="2" fontId="262" fillId="0" borderId="0" xfId="0" applyNumberFormat="1" applyFont="1"/>
    <xf numFmtId="0" fontId="263" fillId="0" borderId="235" xfId="0" applyFont="1" applyBorder="1"/>
    <xf numFmtId="4" fontId="265" fillId="0" borderId="237" xfId="0" applyNumberFormat="1" applyFont="1" applyBorder="1" applyAlignment="1">
      <alignment horizontal="center"/>
    </xf>
    <xf numFmtId="2" fontId="266" fillId="0" borderId="238" xfId="0" applyNumberFormat="1" applyFont="1" applyBorder="1" applyAlignment="1">
      <alignment horizontal="center" vertical="center"/>
    </xf>
    <xf numFmtId="0" fontId="267" fillId="21" borderId="239" xfId="0" applyFont="1" applyFill="1" applyBorder="1" applyAlignment="1">
      <alignment horizontal="center"/>
    </xf>
    <xf numFmtId="0" fontId="268" fillId="0" borderId="240" xfId="0" applyFont="1" applyBorder="1"/>
    <xf numFmtId="1" fontId="269" fillId="0" borderId="241" xfId="0" applyNumberFormat="1" applyFont="1" applyBorder="1" applyAlignment="1">
      <alignment horizontal="center"/>
    </xf>
    <xf numFmtId="0" fontId="270" fillId="0" borderId="242" xfId="0" applyFont="1" applyBorder="1" applyAlignment="1">
      <alignment horizontal="center"/>
    </xf>
    <xf numFmtId="0" fontId="271" fillId="0" borderId="243" xfId="0" applyFont="1" applyBorder="1"/>
    <xf numFmtId="0" fontId="272" fillId="0" borderId="0" xfId="0" applyFont="1" applyAlignment="1">
      <alignment vertical="center"/>
    </xf>
    <xf numFmtId="168" fontId="273" fillId="0" borderId="244" xfId="0" applyNumberFormat="1" applyFont="1" applyBorder="1"/>
    <xf numFmtId="2" fontId="274" fillId="0" borderId="245" xfId="0" applyNumberFormat="1" applyFont="1" applyBorder="1" applyAlignment="1">
      <alignment horizontal="center"/>
    </xf>
    <xf numFmtId="2" fontId="275" fillId="0" borderId="0" xfId="0" applyNumberFormat="1" applyFont="1" applyAlignment="1">
      <alignment horizontal="center"/>
    </xf>
    <xf numFmtId="0" fontId="276" fillId="0" borderId="0" xfId="0" applyFont="1" applyAlignment="1">
      <alignment horizontal="center"/>
    </xf>
    <xf numFmtId="4" fontId="277" fillId="0" borderId="246" xfId="0" applyNumberFormat="1" applyFont="1" applyBorder="1"/>
    <xf numFmtId="0" fontId="278" fillId="0" borderId="0" xfId="0" applyFont="1" applyAlignment="1">
      <alignment horizontal="center" vertical="center" wrapText="1"/>
    </xf>
    <xf numFmtId="2" fontId="279" fillId="0" borderId="247" xfId="0" applyNumberFormat="1" applyFont="1" applyBorder="1" applyAlignment="1">
      <alignment horizontal="center"/>
    </xf>
    <xf numFmtId="0" fontId="280" fillId="0" borderId="248" xfId="0" applyFont="1" applyBorder="1"/>
    <xf numFmtId="4" fontId="281" fillId="0" borderId="0" xfId="0" applyNumberFormat="1" applyFont="1"/>
    <xf numFmtId="2" fontId="282" fillId="0" borderId="0" xfId="0" applyNumberFormat="1" applyFont="1" applyAlignment="1">
      <alignment horizontal="center"/>
    </xf>
    <xf numFmtId="1" fontId="283" fillId="0" borderId="249" xfId="0" applyNumberFormat="1" applyFont="1" applyBorder="1" applyAlignment="1">
      <alignment horizontal="center"/>
    </xf>
    <xf numFmtId="4" fontId="284" fillId="0" borderId="250" xfId="0" applyNumberFormat="1" applyFont="1" applyBorder="1"/>
    <xf numFmtId="0" fontId="285" fillId="22" borderId="251" xfId="0" applyFont="1" applyFill="1" applyBorder="1" applyAlignment="1">
      <alignment horizontal="center"/>
    </xf>
    <xf numFmtId="0" fontId="286" fillId="0" borderId="252" xfId="0" applyFont="1" applyBorder="1" applyAlignment="1">
      <alignment horizontal="center"/>
    </xf>
    <xf numFmtId="0" fontId="287" fillId="0" borderId="253" xfId="0" applyFont="1" applyBorder="1"/>
    <xf numFmtId="2" fontId="288" fillId="0" borderId="0" xfId="0" applyNumberFormat="1" applyFont="1" applyAlignment="1">
      <alignment horizontal="center" vertical="center"/>
    </xf>
    <xf numFmtId="4" fontId="289" fillId="23" borderId="254" xfId="0" applyNumberFormat="1" applyFont="1" applyFill="1" applyBorder="1"/>
    <xf numFmtId="0" fontId="290" fillId="0" borderId="255" xfId="0" applyFont="1" applyBorder="1" applyAlignment="1">
      <alignment horizontal="center" vertical="center" wrapText="1"/>
    </xf>
    <xf numFmtId="0" fontId="291" fillId="24" borderId="0" xfId="0" applyFont="1" applyFill="1" applyAlignment="1">
      <alignment horizontal="right"/>
    </xf>
    <xf numFmtId="10" fontId="292" fillId="0" borderId="256" xfId="0" applyNumberFormat="1" applyFont="1" applyBorder="1" applyAlignment="1">
      <alignment horizontal="center"/>
    </xf>
    <xf numFmtId="0" fontId="293" fillId="0" borderId="257" xfId="0" applyFont="1" applyBorder="1" applyAlignment="1">
      <alignment horizontal="center"/>
    </xf>
    <xf numFmtId="2" fontId="294" fillId="0" borderId="258" xfId="0" applyNumberFormat="1" applyFont="1" applyBorder="1"/>
    <xf numFmtId="0" fontId="296" fillId="0" borderId="260" xfId="0" applyFont="1" applyBorder="1" applyAlignment="1">
      <alignment horizontal="center" vertical="center" wrapText="1"/>
    </xf>
    <xf numFmtId="0" fontId="297" fillId="25" borderId="261" xfId="0" applyFont="1" applyFill="1" applyBorder="1" applyAlignment="1">
      <alignment horizontal="center"/>
    </xf>
    <xf numFmtId="0" fontId="298" fillId="0" borderId="0" xfId="0" applyFont="1"/>
    <xf numFmtId="4" fontId="299" fillId="0" borderId="262" xfId="0" applyNumberFormat="1" applyFont="1" applyBorder="1" applyAlignment="1">
      <alignment horizontal="center"/>
    </xf>
    <xf numFmtId="0" fontId="301" fillId="0" borderId="264" xfId="0" applyFont="1" applyBorder="1"/>
    <xf numFmtId="0" fontId="302" fillId="0" borderId="0" xfId="0" applyFont="1"/>
    <xf numFmtId="4" fontId="303" fillId="0" borderId="0" xfId="0" applyNumberFormat="1" applyFont="1" applyAlignment="1">
      <alignment horizontal="center" vertical="center"/>
    </xf>
    <xf numFmtId="0" fontId="305" fillId="0" borderId="266" xfId="0" applyFont="1" applyBorder="1"/>
    <xf numFmtId="0" fontId="307" fillId="0" borderId="268" xfId="0" applyFont="1" applyBorder="1" applyAlignment="1">
      <alignment horizontal="center"/>
    </xf>
    <xf numFmtId="0" fontId="308" fillId="0" borderId="269" xfId="0" applyFont="1" applyBorder="1" applyAlignment="1">
      <alignment horizontal="center" vertical="center" wrapText="1"/>
    </xf>
    <xf numFmtId="0" fontId="309" fillId="0" borderId="270" xfId="0" applyFont="1" applyBorder="1"/>
    <xf numFmtId="4" fontId="310" fillId="0" borderId="271" xfId="0" applyNumberFormat="1" applyFont="1" applyBorder="1"/>
    <xf numFmtId="4" fontId="311" fillId="0" borderId="272" xfId="0" applyNumberFormat="1" applyFont="1" applyBorder="1" applyAlignment="1">
      <alignment horizontal="center"/>
    </xf>
    <xf numFmtId="0" fontId="312" fillId="0" borderId="273" xfId="0" applyFont="1" applyBorder="1" applyAlignment="1">
      <alignment horizontal="center"/>
    </xf>
    <xf numFmtId="10" fontId="313" fillId="0" borderId="274" xfId="0" applyNumberFormat="1" applyFont="1" applyBorder="1" applyAlignment="1">
      <alignment horizontal="center"/>
    </xf>
    <xf numFmtId="2" fontId="314" fillId="0" borderId="275" xfId="0" applyNumberFormat="1" applyFont="1" applyBorder="1"/>
    <xf numFmtId="0" fontId="315" fillId="0" borderId="276" xfId="0" applyFont="1" applyBorder="1" applyAlignment="1">
      <alignment horizontal="center" vertical="center" wrapText="1"/>
    </xf>
    <xf numFmtId="0" fontId="316" fillId="0" borderId="277" xfId="0" applyFont="1" applyBorder="1"/>
    <xf numFmtId="1" fontId="317" fillId="0" borderId="278" xfId="0" applyNumberFormat="1" applyFont="1" applyBorder="1" applyAlignment="1">
      <alignment horizontal="center"/>
    </xf>
    <xf numFmtId="4" fontId="318" fillId="0" borderId="279" xfId="0" applyNumberFormat="1" applyFont="1" applyBorder="1" applyAlignment="1">
      <alignment horizontal="center"/>
    </xf>
    <xf numFmtId="2" fontId="319" fillId="0" borderId="280" xfId="0" applyNumberFormat="1" applyFont="1" applyBorder="1" applyAlignment="1">
      <alignment horizontal="center"/>
    </xf>
    <xf numFmtId="0" fontId="320" fillId="0" borderId="281" xfId="0" applyFont="1" applyBorder="1" applyAlignment="1">
      <alignment horizontal="center" vertical="center" wrapText="1"/>
    </xf>
    <xf numFmtId="2" fontId="321" fillId="0" borderId="282" xfId="0" applyNumberFormat="1" applyFont="1" applyBorder="1"/>
    <xf numFmtId="164" fontId="322" fillId="0" borderId="283" xfId="0" applyNumberFormat="1" applyFont="1" applyBorder="1" applyAlignment="1">
      <alignment horizontal="center"/>
    </xf>
    <xf numFmtId="0" fontId="323" fillId="26" borderId="284" xfId="0" applyFont="1" applyFill="1" applyBorder="1"/>
    <xf numFmtId="2" fontId="324" fillId="0" borderId="285" xfId="0" applyNumberFormat="1" applyFont="1" applyBorder="1"/>
    <xf numFmtId="0" fontId="325" fillId="0" borderId="286" xfId="0" applyFont="1" applyBorder="1" applyAlignment="1">
      <alignment horizontal="center"/>
    </xf>
    <xf numFmtId="0" fontId="328" fillId="0" borderId="0" xfId="0" applyFont="1" applyAlignment="1">
      <alignment horizontal="left"/>
    </xf>
    <xf numFmtId="0" fontId="330" fillId="0" borderId="290" xfId="0" applyFont="1" applyBorder="1"/>
    <xf numFmtId="4" fontId="331" fillId="0" borderId="291" xfId="0" applyNumberFormat="1" applyFont="1" applyBorder="1" applyAlignment="1">
      <alignment horizontal="center"/>
    </xf>
    <xf numFmtId="0" fontId="332" fillId="0" borderId="292" xfId="0" applyFont="1" applyBorder="1"/>
    <xf numFmtId="1" fontId="333" fillId="27" borderId="293" xfId="0" applyNumberFormat="1" applyFont="1" applyFill="1" applyBorder="1" applyAlignment="1">
      <alignment horizontal="center"/>
    </xf>
    <xf numFmtId="2" fontId="334" fillId="0" borderId="294" xfId="0" applyNumberFormat="1" applyFont="1" applyBorder="1" applyAlignment="1">
      <alignment horizontal="center"/>
    </xf>
    <xf numFmtId="166" fontId="335" fillId="0" borderId="295" xfId="0" applyNumberFormat="1" applyFont="1" applyBorder="1" applyAlignment="1">
      <alignment horizontal="center"/>
    </xf>
    <xf numFmtId="2" fontId="336" fillId="0" borderId="296" xfId="0" applyNumberFormat="1" applyFont="1" applyBorder="1" applyAlignment="1">
      <alignment horizontal="center" vertical="center"/>
    </xf>
    <xf numFmtId="2" fontId="337" fillId="0" borderId="297" xfId="0" applyNumberFormat="1" applyFont="1" applyBorder="1"/>
    <xf numFmtId="2" fontId="338" fillId="0" borderId="298" xfId="0" applyNumberFormat="1" applyFont="1" applyBorder="1"/>
    <xf numFmtId="2" fontId="339" fillId="0" borderId="299" xfId="0" applyNumberFormat="1" applyFont="1" applyBorder="1" applyAlignment="1">
      <alignment horizontal="center"/>
    </xf>
    <xf numFmtId="1" fontId="341" fillId="28" borderId="301" xfId="0" applyNumberFormat="1" applyFont="1" applyFill="1" applyBorder="1" applyAlignment="1">
      <alignment horizontal="center"/>
    </xf>
    <xf numFmtId="0" fontId="342" fillId="0" borderId="302" xfId="0" applyFont="1" applyBorder="1" applyAlignment="1">
      <alignment horizontal="center"/>
    </xf>
    <xf numFmtId="0" fontId="343" fillId="29" borderId="0" xfId="0" applyFont="1" applyFill="1"/>
    <xf numFmtId="0" fontId="344" fillId="0" borderId="303" xfId="0" applyFont="1" applyBorder="1" applyAlignment="1">
      <alignment horizontal="left"/>
    </xf>
    <xf numFmtId="0" fontId="346" fillId="0" borderId="305" xfId="0" applyFont="1" applyBorder="1" applyAlignment="1">
      <alignment horizontal="center"/>
    </xf>
    <xf numFmtId="0" fontId="347" fillId="0" borderId="306" xfId="0" applyFont="1" applyBorder="1"/>
    <xf numFmtId="4" fontId="348" fillId="0" borderId="307" xfId="0" applyNumberFormat="1" applyFont="1" applyBorder="1"/>
    <xf numFmtId="0" fontId="349" fillId="30" borderId="308" xfId="0" applyFont="1" applyFill="1" applyBorder="1"/>
    <xf numFmtId="0" fontId="350" fillId="0" borderId="309" xfId="0" applyFont="1" applyBorder="1"/>
    <xf numFmtId="0" fontId="351" fillId="0" borderId="310" xfId="0" applyFont="1" applyBorder="1" applyAlignment="1">
      <alignment horizontal="center"/>
    </xf>
    <xf numFmtId="0" fontId="352" fillId="0" borderId="0" xfId="0" applyFont="1" applyAlignment="1">
      <alignment horizontal="center" vertical="center"/>
    </xf>
    <xf numFmtId="4" fontId="353" fillId="31" borderId="311" xfId="0" applyNumberFormat="1" applyFont="1" applyFill="1" applyBorder="1" applyAlignment="1">
      <alignment horizontal="center"/>
    </xf>
    <xf numFmtId="0" fontId="354" fillId="0" borderId="312" xfId="0" applyFont="1" applyBorder="1"/>
    <xf numFmtId="0" fontId="355" fillId="32" borderId="313" xfId="0" applyFont="1" applyFill="1" applyBorder="1"/>
    <xf numFmtId="2" fontId="356" fillId="0" borderId="314" xfId="0" applyNumberFormat="1" applyFont="1" applyBorder="1" applyAlignment="1">
      <alignment horizontal="center"/>
    </xf>
    <xf numFmtId="0" fontId="357" fillId="33" borderId="315" xfId="0" applyFont="1" applyFill="1" applyBorder="1" applyAlignment="1">
      <alignment horizontal="center"/>
    </xf>
    <xf numFmtId="2" fontId="358" fillId="0" borderId="316" xfId="0" applyNumberFormat="1" applyFont="1" applyBorder="1" applyAlignment="1">
      <alignment horizontal="center"/>
    </xf>
    <xf numFmtId="0" fontId="359" fillId="0" borderId="317" xfId="0" applyFont="1" applyBorder="1"/>
    <xf numFmtId="0" fontId="360" fillId="0" borderId="318" xfId="0" applyFont="1" applyBorder="1" applyAlignment="1">
      <alignment horizontal="center" vertical="center" wrapText="1"/>
    </xf>
    <xf numFmtId="0" fontId="361" fillId="0" borderId="319" xfId="0" applyFont="1" applyBorder="1" applyAlignment="1">
      <alignment horizontal="center" vertical="center" wrapText="1"/>
    </xf>
    <xf numFmtId="2" fontId="362" fillId="0" borderId="0" xfId="0" applyNumberFormat="1" applyFont="1" applyAlignment="1">
      <alignment horizontal="center"/>
    </xf>
    <xf numFmtId="0" fontId="363" fillId="0" borderId="320" xfId="0" applyFont="1" applyBorder="1" applyAlignment="1">
      <alignment horizontal="center"/>
    </xf>
    <xf numFmtId="0" fontId="364" fillId="0" borderId="321" xfId="0" applyFont="1" applyBorder="1"/>
    <xf numFmtId="2" fontId="365" fillId="0" borderId="322" xfId="0" applyNumberFormat="1" applyFont="1" applyBorder="1"/>
    <xf numFmtId="10" fontId="366" fillId="0" borderId="323" xfId="0" applyNumberFormat="1" applyFont="1" applyBorder="1" applyAlignment="1">
      <alignment horizontal="center"/>
    </xf>
    <xf numFmtId="0" fontId="367" fillId="0" borderId="0" xfId="0" applyFont="1" applyAlignment="1">
      <alignment horizontal="center"/>
    </xf>
    <xf numFmtId="2" fontId="368" fillId="0" borderId="324" xfId="0" applyNumberFormat="1" applyFont="1" applyBorder="1" applyAlignment="1">
      <alignment vertical="center" wrapText="1"/>
    </xf>
    <xf numFmtId="10" fontId="369" fillId="0" borderId="325" xfId="0" applyNumberFormat="1" applyFont="1" applyBorder="1" applyAlignment="1">
      <alignment horizontal="center"/>
    </xf>
    <xf numFmtId="0" fontId="370" fillId="0" borderId="326" xfId="0" applyFont="1" applyBorder="1"/>
    <xf numFmtId="0" fontId="371" fillId="0" borderId="327" xfId="0" applyFont="1" applyBorder="1"/>
    <xf numFmtId="4" fontId="372" fillId="0" borderId="0" xfId="0" applyNumberFormat="1" applyFont="1" applyAlignment="1">
      <alignment horizontal="center"/>
    </xf>
    <xf numFmtId="0" fontId="373" fillId="0" borderId="328" xfId="0" applyFont="1" applyBorder="1"/>
    <xf numFmtId="0" fontId="374" fillId="0" borderId="329" xfId="0" applyFont="1" applyBorder="1" applyAlignment="1">
      <alignment horizontal="center"/>
    </xf>
    <xf numFmtId="0" fontId="375" fillId="0" borderId="330" xfId="0" applyFont="1" applyBorder="1"/>
    <xf numFmtId="4" fontId="376" fillId="0" borderId="331" xfId="0" applyNumberFormat="1" applyFont="1" applyBorder="1"/>
    <xf numFmtId="0" fontId="377" fillId="0" borderId="332" xfId="0" applyFont="1" applyBorder="1"/>
    <xf numFmtId="1" fontId="378" fillId="0" borderId="333" xfId="0" applyNumberFormat="1" applyFont="1" applyBorder="1" applyAlignment="1">
      <alignment horizontal="center"/>
    </xf>
    <xf numFmtId="0" fontId="379" fillId="34" borderId="0" xfId="0" applyFont="1" applyFill="1"/>
    <xf numFmtId="0" fontId="380" fillId="0" borderId="334" xfId="0" applyFont="1" applyBorder="1" applyAlignment="1">
      <alignment horizontal="center" vertical="center" wrapText="1"/>
    </xf>
    <xf numFmtId="0" fontId="381" fillId="0" borderId="335" xfId="0" applyFont="1" applyBorder="1" applyAlignment="1">
      <alignment horizontal="center" vertical="center" wrapText="1"/>
    </xf>
    <xf numFmtId="9" fontId="382" fillId="0" borderId="336" xfId="0" applyNumberFormat="1" applyFont="1" applyBorder="1" applyAlignment="1">
      <alignment horizontal="center"/>
    </xf>
    <xf numFmtId="0" fontId="383" fillId="0" borderId="337" xfId="0" applyFont="1" applyBorder="1" applyAlignment="1">
      <alignment horizontal="center"/>
    </xf>
    <xf numFmtId="0" fontId="384" fillId="0" borderId="338" xfId="0" applyFont="1" applyBorder="1" applyAlignment="1">
      <alignment horizontal="center"/>
    </xf>
    <xf numFmtId="0" fontId="385" fillId="0" borderId="339" xfId="0" applyFont="1" applyBorder="1" applyAlignment="1">
      <alignment horizontal="right"/>
    </xf>
    <xf numFmtId="0" fontId="386" fillId="0" borderId="340" xfId="0" applyFont="1" applyBorder="1" applyAlignment="1">
      <alignment horizontal="center" vertical="center" wrapText="1"/>
    </xf>
    <xf numFmtId="0" fontId="387" fillId="0" borderId="341" xfId="0" applyFont="1" applyBorder="1" applyAlignment="1">
      <alignment horizontal="center" vertical="center" wrapText="1"/>
    </xf>
    <xf numFmtId="2" fontId="388" fillId="0" borderId="342" xfId="0" applyNumberFormat="1" applyFont="1" applyBorder="1"/>
    <xf numFmtId="0" fontId="389" fillId="0" borderId="343" xfId="0" applyFont="1" applyBorder="1" applyAlignment="1">
      <alignment horizontal="center" vertical="center" wrapText="1"/>
    </xf>
    <xf numFmtId="0" fontId="390" fillId="0" borderId="344" xfId="0" applyFont="1" applyBorder="1"/>
    <xf numFmtId="10" fontId="391" fillId="0" borderId="345" xfId="0" applyNumberFormat="1" applyFont="1" applyBorder="1" applyAlignment="1">
      <alignment horizontal="center"/>
    </xf>
    <xf numFmtId="4" fontId="392" fillId="0" borderId="346" xfId="0" applyNumberFormat="1" applyFont="1" applyBorder="1" applyAlignment="1">
      <alignment horizontal="center"/>
    </xf>
    <xf numFmtId="0" fontId="393" fillId="35" borderId="347" xfId="0" applyFont="1" applyFill="1" applyBorder="1"/>
    <xf numFmtId="0" fontId="395" fillId="0" borderId="349" xfId="0" applyFont="1" applyBorder="1" applyAlignment="1">
      <alignment horizontal="center" vertical="center"/>
    </xf>
    <xf numFmtId="2" fontId="396" fillId="0" borderId="350" xfId="0" applyNumberFormat="1" applyFont="1" applyBorder="1"/>
    <xf numFmtId="0" fontId="397" fillId="0" borderId="351" xfId="0" applyFont="1" applyBorder="1" applyAlignment="1">
      <alignment horizontal="right"/>
    </xf>
    <xf numFmtId="0" fontId="398" fillId="0" borderId="352" xfId="0" applyFont="1" applyBorder="1" applyAlignment="1">
      <alignment horizontal="center"/>
    </xf>
    <xf numFmtId="2" fontId="399" fillId="36" borderId="353" xfId="0" applyNumberFormat="1" applyFont="1" applyFill="1" applyBorder="1"/>
    <xf numFmtId="0" fontId="400" fillId="0" borderId="354" xfId="0" applyFont="1" applyBorder="1"/>
    <xf numFmtId="2" fontId="401" fillId="0" borderId="355" xfId="0" applyNumberFormat="1" applyFont="1" applyBorder="1"/>
    <xf numFmtId="43" fontId="402" fillId="0" borderId="356" xfId="0" applyNumberFormat="1" applyFont="1" applyBorder="1"/>
    <xf numFmtId="9" fontId="403" fillId="0" borderId="357" xfId="0" applyNumberFormat="1" applyFont="1" applyBorder="1" applyAlignment="1">
      <alignment horizontal="center"/>
    </xf>
    <xf numFmtId="0" fontId="404" fillId="0" borderId="358" xfId="0" applyFont="1" applyBorder="1"/>
    <xf numFmtId="10" fontId="405" fillId="0" borderId="359" xfId="0" applyNumberFormat="1" applyFont="1" applyBorder="1"/>
    <xf numFmtId="0" fontId="406" fillId="0" borderId="0" xfId="0" applyFont="1" applyAlignment="1">
      <alignment horizontal="center"/>
    </xf>
    <xf numFmtId="4" fontId="407" fillId="0" borderId="360" xfId="0" applyNumberFormat="1" applyFont="1" applyBorder="1" applyAlignment="1">
      <alignment horizontal="center"/>
    </xf>
    <xf numFmtId="2" fontId="408" fillId="0" borderId="361" xfId="0" applyNumberFormat="1" applyFont="1" applyBorder="1"/>
    <xf numFmtId="2" fontId="409" fillId="0" borderId="362" xfId="0" applyNumberFormat="1" applyFont="1" applyBorder="1"/>
    <xf numFmtId="1" fontId="410" fillId="0" borderId="0" xfId="0" applyNumberFormat="1" applyFont="1" applyAlignment="1">
      <alignment horizontal="center"/>
    </xf>
    <xf numFmtId="0" fontId="412" fillId="0" borderId="364" xfId="0" applyFont="1" applyBorder="1" applyAlignment="1">
      <alignment horizontal="center"/>
    </xf>
    <xf numFmtId="0" fontId="413" fillId="0" borderId="365" xfId="0" applyFont="1" applyBorder="1"/>
    <xf numFmtId="9" fontId="414" fillId="0" borderId="366" xfId="0" applyNumberFormat="1" applyFont="1" applyBorder="1" applyAlignment="1">
      <alignment horizontal="center"/>
    </xf>
    <xf numFmtId="0" fontId="0" fillId="0" borderId="367" xfId="0" applyBorder="1" applyAlignment="1">
      <alignment wrapText="1"/>
    </xf>
    <xf numFmtId="166" fontId="415" fillId="37" borderId="368" xfId="0" applyNumberFormat="1" applyFont="1" applyFill="1" applyBorder="1" applyAlignment="1">
      <alignment horizontal="center"/>
    </xf>
    <xf numFmtId="4" fontId="416" fillId="0" borderId="369" xfId="0" applyNumberFormat="1" applyFont="1" applyBorder="1"/>
    <xf numFmtId="0" fontId="0" fillId="0" borderId="370" xfId="0" applyBorder="1" applyAlignment="1">
      <alignment wrapText="1"/>
    </xf>
    <xf numFmtId="0" fontId="417" fillId="38" borderId="371" xfId="0" applyFont="1" applyFill="1" applyBorder="1"/>
    <xf numFmtId="0" fontId="418" fillId="39" borderId="372" xfId="0" applyFont="1" applyFill="1" applyBorder="1"/>
    <xf numFmtId="4" fontId="419" fillId="0" borderId="0" xfId="0" applyNumberFormat="1" applyFont="1" applyAlignment="1">
      <alignment horizontal="center"/>
    </xf>
    <xf numFmtId="0" fontId="420" fillId="0" borderId="373" xfId="0" applyFont="1" applyBorder="1" applyAlignment="1">
      <alignment horizontal="center" vertical="center" wrapText="1"/>
    </xf>
    <xf numFmtId="2" fontId="421" fillId="0" borderId="374" xfId="0" applyNumberFormat="1" applyFont="1" applyBorder="1"/>
    <xf numFmtId="4" fontId="422" fillId="40" borderId="375" xfId="0" applyNumberFormat="1" applyFont="1" applyFill="1" applyBorder="1" applyAlignment="1">
      <alignment horizontal="center"/>
    </xf>
    <xf numFmtId="4" fontId="423" fillId="0" borderId="376" xfId="0" applyNumberFormat="1" applyFont="1" applyBorder="1"/>
    <xf numFmtId="10" fontId="424" fillId="0" borderId="0" xfId="0" applyNumberFormat="1" applyFont="1"/>
    <xf numFmtId="0" fontId="425" fillId="0" borderId="377" xfId="0" applyFont="1" applyBorder="1"/>
    <xf numFmtId="0" fontId="426" fillId="0" borderId="378" xfId="0" applyFont="1" applyBorder="1" applyAlignment="1">
      <alignment horizontal="center" vertical="center"/>
    </xf>
    <xf numFmtId="0" fontId="427" fillId="0" borderId="379" xfId="0" applyFont="1" applyBorder="1"/>
    <xf numFmtId="4" fontId="428" fillId="0" borderId="380" xfId="0" applyNumberFormat="1" applyFont="1" applyBorder="1"/>
    <xf numFmtId="4" fontId="429" fillId="0" borderId="381" xfId="0" applyNumberFormat="1" applyFont="1" applyBorder="1" applyAlignment="1">
      <alignment horizontal="center"/>
    </xf>
    <xf numFmtId="2" fontId="430" fillId="0" borderId="382" xfId="0" applyNumberFormat="1" applyFont="1" applyBorder="1" applyAlignment="1">
      <alignment horizontal="center"/>
    </xf>
    <xf numFmtId="2" fontId="431" fillId="0" borderId="383" xfId="0" applyNumberFormat="1" applyFont="1" applyBorder="1"/>
    <xf numFmtId="1" fontId="432" fillId="0" borderId="0" xfId="0" applyNumberFormat="1" applyFont="1"/>
    <xf numFmtId="0" fontId="433" fillId="0" borderId="384" xfId="0" applyFont="1" applyBorder="1"/>
    <xf numFmtId="4" fontId="434" fillId="0" borderId="0" xfId="0" applyNumberFormat="1" applyFont="1" applyAlignment="1">
      <alignment horizontal="center"/>
    </xf>
    <xf numFmtId="0" fontId="435" fillId="0" borderId="385" xfId="0" applyFont="1" applyBorder="1"/>
    <xf numFmtId="0" fontId="436" fillId="0" borderId="386" xfId="0" applyFont="1" applyBorder="1"/>
    <xf numFmtId="4" fontId="437" fillId="0" borderId="387" xfId="0" applyNumberFormat="1" applyFont="1" applyBorder="1"/>
    <xf numFmtId="0" fontId="438" fillId="0" borderId="388" xfId="0" applyFont="1" applyBorder="1"/>
    <xf numFmtId="0" fontId="439" fillId="41" borderId="389" xfId="0" applyFont="1" applyFill="1" applyBorder="1"/>
    <xf numFmtId="0" fontId="440" fillId="42" borderId="390" xfId="0" applyFont="1" applyFill="1" applyBorder="1" applyAlignment="1">
      <alignment horizontal="center" vertical="center" wrapText="1"/>
    </xf>
    <xf numFmtId="0" fontId="443" fillId="0" borderId="393" xfId="0" applyFont="1" applyBorder="1" applyAlignment="1">
      <alignment horizontal="center"/>
    </xf>
    <xf numFmtId="0" fontId="444" fillId="0" borderId="394" xfId="0" applyFont="1" applyBorder="1" applyAlignment="1">
      <alignment horizontal="center" vertical="center" wrapText="1"/>
    </xf>
    <xf numFmtId="0" fontId="445" fillId="0" borderId="395" xfId="0" applyFont="1" applyBorder="1"/>
    <xf numFmtId="10" fontId="446" fillId="0" borderId="396" xfId="0" applyNumberFormat="1" applyFont="1" applyBorder="1"/>
    <xf numFmtId="0" fontId="447" fillId="0" borderId="397" xfId="0" applyFont="1" applyBorder="1"/>
    <xf numFmtId="4" fontId="448" fillId="43" borderId="398" xfId="0" applyNumberFormat="1" applyFont="1" applyFill="1" applyBorder="1"/>
    <xf numFmtId="0" fontId="449" fillId="0" borderId="399" xfId="0" applyFont="1" applyBorder="1" applyAlignment="1">
      <alignment horizontal="center"/>
    </xf>
    <xf numFmtId="2" fontId="451" fillId="44" borderId="401" xfId="0" applyNumberFormat="1" applyFont="1" applyFill="1" applyBorder="1"/>
    <xf numFmtId="2" fontId="452" fillId="0" borderId="402" xfId="0" applyNumberFormat="1" applyFont="1" applyBorder="1" applyAlignment="1">
      <alignment horizontal="center"/>
    </xf>
    <xf numFmtId="1" fontId="453" fillId="0" borderId="0" xfId="0" applyNumberFormat="1" applyFont="1" applyAlignment="1">
      <alignment horizontal="center"/>
    </xf>
    <xf numFmtId="4" fontId="454" fillId="0" borderId="403" xfId="0" applyNumberFormat="1" applyFont="1" applyBorder="1"/>
    <xf numFmtId="0" fontId="455" fillId="0" borderId="404" xfId="0" applyFont="1" applyBorder="1"/>
    <xf numFmtId="0" fontId="456" fillId="0" borderId="0" xfId="0" applyFont="1" applyAlignment="1">
      <alignment vertical="center" wrapText="1"/>
    </xf>
    <xf numFmtId="2" fontId="457" fillId="0" borderId="405" xfId="0" applyNumberFormat="1" applyFont="1" applyBorder="1"/>
    <xf numFmtId="1" fontId="458" fillId="0" borderId="406" xfId="0" applyNumberFormat="1" applyFont="1" applyBorder="1" applyAlignment="1">
      <alignment horizontal="center"/>
    </xf>
    <xf numFmtId="0" fontId="459" fillId="0" borderId="407" xfId="0" applyFont="1" applyBorder="1"/>
    <xf numFmtId="1" fontId="460" fillId="45" borderId="408" xfId="0" applyNumberFormat="1" applyFont="1" applyFill="1" applyBorder="1" applyAlignment="1">
      <alignment horizontal="center"/>
    </xf>
    <xf numFmtId="0" fontId="461" fillId="0" borderId="0" xfId="0" applyFont="1"/>
    <xf numFmtId="4" fontId="464" fillId="0" borderId="411" xfId="0" applyNumberFormat="1" applyFont="1" applyBorder="1" applyAlignment="1">
      <alignment horizontal="center"/>
    </xf>
    <xf numFmtId="0" fontId="465" fillId="0" borderId="412" xfId="0" applyFont="1" applyBorder="1"/>
    <xf numFmtId="2" fontId="466" fillId="46" borderId="413" xfId="0" applyNumberFormat="1" applyFont="1" applyFill="1" applyBorder="1"/>
    <xf numFmtId="0" fontId="467" fillId="0" borderId="414" xfId="0" applyFont="1" applyBorder="1"/>
    <xf numFmtId="0" fontId="468" fillId="0" borderId="415" xfId="0" applyFont="1" applyBorder="1" applyAlignment="1">
      <alignment horizontal="center"/>
    </xf>
    <xf numFmtId="0" fontId="469" fillId="0" borderId="416" xfId="0" applyFont="1" applyBorder="1"/>
    <xf numFmtId="0" fontId="471" fillId="47" borderId="418" xfId="0" applyFont="1" applyFill="1" applyBorder="1" applyAlignment="1">
      <alignment horizontal="center"/>
    </xf>
    <xf numFmtId="0" fontId="472" fillId="48" borderId="419" xfId="0" applyFont="1" applyFill="1" applyBorder="1"/>
    <xf numFmtId="0" fontId="473" fillId="0" borderId="420" xfId="0" applyFont="1" applyBorder="1" applyAlignment="1">
      <alignment horizontal="center" vertical="center"/>
    </xf>
    <xf numFmtId="0" fontId="474" fillId="0" borderId="421" xfId="0" applyFont="1" applyBorder="1" applyAlignment="1">
      <alignment horizontal="center" vertical="center" wrapText="1"/>
    </xf>
    <xf numFmtId="0" fontId="475" fillId="0" borderId="422" xfId="0" applyFont="1" applyBorder="1"/>
    <xf numFmtId="1" fontId="476" fillId="0" borderId="423" xfId="0" applyNumberFormat="1" applyFont="1" applyBorder="1" applyAlignment="1">
      <alignment horizontal="center" vertical="center" wrapText="1"/>
    </xf>
    <xf numFmtId="0" fontId="477" fillId="0" borderId="424" xfId="0" applyFont="1" applyBorder="1"/>
    <xf numFmtId="0" fontId="10" fillId="0" borderId="393" xfId="0" applyFont="1" applyBorder="1" applyAlignment="1">
      <alignment horizontal="center"/>
    </xf>
    <xf numFmtId="4" fontId="3" fillId="0" borderId="407" xfId="0" applyNumberFormat="1" applyFont="1" applyBorder="1" applyAlignment="1">
      <alignment horizontal="center"/>
    </xf>
    <xf numFmtId="4" fontId="3" fillId="0" borderId="379" xfId="0" applyNumberFormat="1" applyFont="1" applyBorder="1" applyAlignment="1">
      <alignment horizontal="center"/>
    </xf>
    <xf numFmtId="4" fontId="2" fillId="0" borderId="423" xfId="0" applyNumberFormat="1" applyFont="1" applyBorder="1" applyAlignment="1">
      <alignment horizontal="center"/>
    </xf>
    <xf numFmtId="4" fontId="2" fillId="0" borderId="411" xfId="0" applyNumberFormat="1" applyFont="1" applyBorder="1" applyAlignment="1">
      <alignment horizontal="center"/>
    </xf>
    <xf numFmtId="2" fontId="2" fillId="0" borderId="423" xfId="0" applyNumberFormat="1" applyFont="1" applyBorder="1" applyAlignment="1">
      <alignment horizontal="center"/>
    </xf>
    <xf numFmtId="2" fontId="478" fillId="0" borderId="362" xfId="0" applyNumberFormat="1" applyFont="1" applyBorder="1"/>
    <xf numFmtId="2" fontId="390" fillId="0" borderId="344" xfId="0" applyNumberFormat="1" applyFont="1" applyBorder="1"/>
    <xf numFmtId="2" fontId="478" fillId="0" borderId="374" xfId="0" applyNumberFormat="1" applyFont="1" applyBorder="1"/>
    <xf numFmtId="0" fontId="0" fillId="0" borderId="352" xfId="0" applyBorder="1" applyAlignment="1">
      <alignment horizontal="center"/>
    </xf>
    <xf numFmtId="2" fontId="363" fillId="0" borderId="320" xfId="0" applyNumberFormat="1" applyFont="1" applyBorder="1" applyAlignment="1">
      <alignment horizontal="center"/>
    </xf>
    <xf numFmtId="2" fontId="157" fillId="49" borderId="145" xfId="0" applyNumberFormat="1" applyFont="1" applyFill="1" applyBorder="1"/>
    <xf numFmtId="1" fontId="333" fillId="50" borderId="293" xfId="0" applyNumberFormat="1" applyFont="1" applyFill="1" applyBorder="1" applyAlignment="1">
      <alignment horizontal="center"/>
    </xf>
    <xf numFmtId="9" fontId="403" fillId="0" borderId="357" xfId="0" applyNumberFormat="1" applyFont="1" applyBorder="1" applyAlignment="1">
      <alignment horizontal="center"/>
    </xf>
    <xf numFmtId="10" fontId="196" fillId="0" borderId="179" xfId="0" applyNumberFormat="1" applyFont="1" applyBorder="1" applyAlignment="1">
      <alignment horizontal="center"/>
    </xf>
    <xf numFmtId="0" fontId="443" fillId="0" borderId="393" xfId="0" applyFont="1" applyBorder="1" applyAlignment="1">
      <alignment horizontal="center"/>
    </xf>
    <xf numFmtId="0" fontId="387" fillId="0" borderId="341" xfId="0" applyFont="1" applyBorder="1" applyAlignment="1">
      <alignment horizontal="center" vertical="center" wrapText="1"/>
    </xf>
    <xf numFmtId="1" fontId="248" fillId="0" borderId="223" xfId="0" applyNumberFormat="1" applyFont="1" applyBorder="1" applyAlignment="1">
      <alignment horizontal="center"/>
    </xf>
    <xf numFmtId="0" fontId="367" fillId="0" borderId="0" xfId="0" applyFont="1" applyAlignment="1">
      <alignment horizontal="center"/>
    </xf>
    <xf numFmtId="0" fontId="264" fillId="0" borderId="236" xfId="0" applyFont="1" applyBorder="1" applyAlignment="1">
      <alignment horizontal="center"/>
    </xf>
    <xf numFmtId="0" fontId="394" fillId="0" borderId="348" xfId="0" applyFont="1" applyBorder="1" applyAlignment="1">
      <alignment horizontal="center"/>
    </xf>
    <xf numFmtId="0" fontId="57" fillId="0" borderId="50" xfId="0" applyFont="1" applyBorder="1" applyAlignment="1">
      <alignment horizontal="center"/>
    </xf>
    <xf numFmtId="0" fontId="462" fillId="0" borderId="409" xfId="0" applyFont="1" applyBorder="1" applyAlignment="1">
      <alignment horizontal="center"/>
    </xf>
    <xf numFmtId="0" fontId="227" fillId="0" borderId="204" xfId="0" applyFont="1" applyBorder="1" applyAlignment="1">
      <alignment horizontal="center"/>
    </xf>
    <xf numFmtId="0" fontId="131" fillId="0" borderId="121" xfId="0" applyFont="1" applyBorder="1" applyAlignment="1">
      <alignment horizontal="center"/>
    </xf>
    <xf numFmtId="0" fontId="119" fillId="0" borderId="109" xfId="0" applyFont="1" applyBorder="1" applyAlignment="1">
      <alignment horizontal="center"/>
    </xf>
    <xf numFmtId="3" fontId="171" fillId="0" borderId="156" xfId="0" applyNumberFormat="1" applyFont="1" applyBorder="1" applyAlignment="1">
      <alignment horizontal="center"/>
    </xf>
    <xf numFmtId="4" fontId="21" fillId="0" borderId="17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325" fillId="0" borderId="28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36" fillId="0" borderId="211" xfId="0" applyFont="1" applyBorder="1" applyAlignment="1">
      <alignment horizontal="center"/>
    </xf>
    <xf numFmtId="0" fontId="441" fillId="0" borderId="391" xfId="0" applyFont="1" applyBorder="1" applyAlignment="1">
      <alignment horizontal="center"/>
    </xf>
    <xf numFmtId="0" fontId="306" fillId="0" borderId="267" xfId="0" applyFont="1" applyBorder="1" applyAlignment="1">
      <alignment horizontal="center"/>
    </xf>
    <xf numFmtId="0" fontId="77" fillId="0" borderId="68" xfId="0" applyFont="1" applyBorder="1" applyAlignment="1">
      <alignment horizontal="center"/>
    </xf>
    <xf numFmtId="0" fontId="187" fillId="0" borderId="172" xfId="0" applyFont="1" applyBorder="1" applyAlignment="1">
      <alignment horizontal="center"/>
    </xf>
    <xf numFmtId="0" fontId="177" fillId="0" borderId="162" xfId="0" applyFont="1" applyBorder="1" applyAlignment="1">
      <alignment horizontal="center"/>
    </xf>
    <xf numFmtId="0" fontId="326" fillId="0" borderId="287" xfId="0" applyFont="1" applyBorder="1" applyAlignment="1">
      <alignment horizontal="center"/>
    </xf>
    <xf numFmtId="0" fontId="168" fillId="0" borderId="154" xfId="0" applyFont="1" applyBorder="1" applyAlignment="1">
      <alignment horizontal="center"/>
    </xf>
    <xf numFmtId="0" fontId="295" fillId="0" borderId="259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450" fillId="0" borderId="400" xfId="0" applyFont="1" applyBorder="1" applyAlignment="1">
      <alignment horizontal="center" vertical="center" wrapText="1"/>
    </xf>
    <xf numFmtId="0" fontId="345" fillId="0" borderId="304" xfId="0" applyFont="1" applyBorder="1" applyAlignment="1">
      <alignment horizontal="center"/>
    </xf>
    <xf numFmtId="0" fontId="442" fillId="0" borderId="392" xfId="0" applyFont="1" applyBorder="1" applyAlignment="1">
      <alignment horizontal="center"/>
    </xf>
    <xf numFmtId="0" fontId="300" fillId="0" borderId="263" xfId="0" applyFont="1" applyBorder="1" applyAlignment="1">
      <alignment horizontal="center"/>
    </xf>
    <xf numFmtId="0" fontId="151" fillId="0" borderId="139" xfId="0" applyFont="1" applyBorder="1" applyAlignment="1">
      <alignment horizontal="center"/>
    </xf>
    <xf numFmtId="0" fontId="76" fillId="0" borderId="67" xfId="0" applyFont="1" applyBorder="1" applyAlignment="1">
      <alignment horizontal="center"/>
    </xf>
    <xf numFmtId="2" fontId="470" fillId="0" borderId="417" xfId="0" applyNumberFormat="1" applyFont="1" applyBorder="1" applyAlignment="1">
      <alignment horizontal="center"/>
    </xf>
    <xf numFmtId="2" fontId="84" fillId="0" borderId="75" xfId="0" applyNumberFormat="1" applyFont="1" applyBorder="1" applyAlignment="1">
      <alignment horizontal="center"/>
    </xf>
    <xf numFmtId="0" fontId="155" fillId="0" borderId="143" xfId="0" applyFont="1" applyBorder="1" applyAlignment="1">
      <alignment horizontal="center"/>
    </xf>
    <xf numFmtId="0" fontId="183" fillId="0" borderId="168" xfId="0" applyFont="1" applyBorder="1" applyAlignment="1">
      <alignment horizontal="center"/>
    </xf>
    <xf numFmtId="0" fontId="342" fillId="0" borderId="302" xfId="0" applyFont="1" applyBorder="1" applyAlignment="1">
      <alignment horizontal="center"/>
    </xf>
    <xf numFmtId="10" fontId="2" fillId="0" borderId="423" xfId="0" applyNumberFormat="1" applyFont="1" applyBorder="1" applyAlignment="1">
      <alignment horizontal="center"/>
    </xf>
    <xf numFmtId="2" fontId="1" fillId="0" borderId="388" xfId="0" applyNumberFormat="1" applyFont="1" applyBorder="1" applyAlignment="1">
      <alignment horizontal="center"/>
    </xf>
    <xf numFmtId="43" fontId="49" fillId="0" borderId="43" xfId="0" applyNumberFormat="1" applyFont="1" applyBorder="1" applyAlignment="1">
      <alignment horizontal="center"/>
    </xf>
    <xf numFmtId="4" fontId="2" fillId="0" borderId="423" xfId="0" applyNumberFormat="1" applyFont="1" applyBorder="1" applyAlignment="1">
      <alignment horizontal="center"/>
    </xf>
    <xf numFmtId="4" fontId="1" fillId="0" borderId="423" xfId="0" applyNumberFormat="1" applyFont="1" applyBorder="1" applyAlignment="1">
      <alignment horizontal="center"/>
    </xf>
    <xf numFmtId="165" fontId="411" fillId="0" borderId="363" xfId="0" applyNumberFormat="1" applyFont="1" applyBorder="1" applyAlignment="1">
      <alignment horizontal="center"/>
    </xf>
    <xf numFmtId="165" fontId="36" fillId="0" borderId="31" xfId="0" applyNumberFormat="1" applyFont="1" applyBorder="1" applyAlignment="1">
      <alignment horizontal="center"/>
    </xf>
    <xf numFmtId="165" fontId="239" fillId="0" borderId="213" xfId="0" applyNumberFormat="1" applyFont="1" applyBorder="1" applyAlignment="1">
      <alignment horizontal="center"/>
    </xf>
    <xf numFmtId="2" fontId="1" fillId="0" borderId="423" xfId="0" applyNumberFormat="1" applyFont="1" applyBorder="1" applyAlignment="1">
      <alignment horizontal="center"/>
    </xf>
    <xf numFmtId="0" fontId="142" fillId="0" borderId="0" xfId="0" applyFont="1" applyAlignment="1">
      <alignment horizontal="center"/>
    </xf>
    <xf numFmtId="0" fontId="329" fillId="0" borderId="289" xfId="0" applyFont="1" applyBorder="1" applyAlignment="1">
      <alignment horizontal="center" vertical="center"/>
    </xf>
    <xf numFmtId="0" fontId="426" fillId="0" borderId="378" xfId="0" applyFont="1" applyBorder="1" applyAlignment="1">
      <alignment horizontal="center" vertical="center"/>
    </xf>
    <xf numFmtId="0" fontId="188" fillId="51" borderId="423" xfId="0" applyFont="1" applyFill="1" applyBorder="1"/>
    <xf numFmtId="0" fontId="249" fillId="51" borderId="224" xfId="0" applyFont="1" applyFill="1" applyBorder="1"/>
    <xf numFmtId="0" fontId="413" fillId="52" borderId="365" xfId="0" applyFont="1" applyFill="1" applyBorder="1"/>
    <xf numFmtId="0" fontId="204" fillId="52" borderId="185" xfId="0" applyFont="1" applyFill="1" applyBorder="1"/>
    <xf numFmtId="0" fontId="413" fillId="52" borderId="365" xfId="0" applyFont="1" applyFill="1" applyBorder="1" applyAlignment="1">
      <alignment horizontal="center"/>
    </xf>
    <xf numFmtId="0" fontId="444" fillId="52" borderId="394" xfId="0" applyFont="1" applyFill="1" applyBorder="1" applyAlignment="1">
      <alignment horizontal="center" vertical="center" wrapText="1"/>
    </xf>
    <xf numFmtId="0" fontId="361" fillId="52" borderId="319" xfId="0" applyFont="1" applyFill="1" applyBorder="1" applyAlignment="1">
      <alignment horizontal="center" vertical="center" wrapText="1"/>
    </xf>
    <xf numFmtId="2" fontId="45" fillId="53" borderId="39" xfId="0" applyNumberFormat="1" applyFont="1" applyFill="1" applyBorder="1"/>
    <xf numFmtId="0" fontId="268" fillId="53" borderId="240" xfId="0" applyFont="1" applyFill="1" applyBorder="1"/>
    <xf numFmtId="2" fontId="408" fillId="53" borderId="361" xfId="0" applyNumberFormat="1" applyFont="1" applyFill="1" applyBorder="1"/>
    <xf numFmtId="0" fontId="359" fillId="53" borderId="317" xfId="0" applyFont="1" applyFill="1" applyBorder="1"/>
    <xf numFmtId="0" fontId="301" fillId="53" borderId="264" xfId="0" applyFont="1" applyFill="1" applyBorder="1"/>
    <xf numFmtId="2" fontId="99" fillId="53" borderId="89" xfId="0" applyNumberFormat="1" applyFont="1" applyFill="1" applyBorder="1"/>
    <xf numFmtId="2" fontId="229" fillId="53" borderId="205" xfId="0" applyNumberFormat="1" applyFont="1" applyFill="1" applyBorder="1"/>
    <xf numFmtId="2" fontId="154" fillId="53" borderId="142" xfId="0" applyNumberFormat="1" applyFont="1" applyFill="1" applyBorder="1"/>
    <xf numFmtId="0" fontId="390" fillId="53" borderId="344" xfId="0" applyFont="1" applyFill="1" applyBorder="1"/>
    <xf numFmtId="2" fontId="156" fillId="53" borderId="144" xfId="0" applyNumberFormat="1" applyFont="1" applyFill="1" applyBorder="1"/>
    <xf numFmtId="2" fontId="45" fillId="54" borderId="39" xfId="0" applyNumberFormat="1" applyFont="1" applyFill="1" applyBorder="1"/>
    <xf numFmtId="0" fontId="268" fillId="54" borderId="240" xfId="0" applyFont="1" applyFill="1" applyBorder="1"/>
    <xf numFmtId="0" fontId="390" fillId="54" borderId="344" xfId="0" applyFont="1" applyFill="1" applyBorder="1"/>
    <xf numFmtId="2" fontId="408" fillId="54" borderId="361" xfId="0" applyNumberFormat="1" applyFont="1" applyFill="1" applyBorder="1"/>
    <xf numFmtId="0" fontId="301" fillId="54" borderId="264" xfId="0" applyFont="1" applyFill="1" applyBorder="1"/>
    <xf numFmtId="0" fontId="327" fillId="51" borderId="288" xfId="0" applyFont="1" applyFill="1" applyBorder="1"/>
    <xf numFmtId="0" fontId="71" fillId="51" borderId="63" xfId="0" applyFont="1" applyFill="1" applyBorder="1"/>
    <xf numFmtId="0" fontId="83" fillId="51" borderId="74" xfId="0" applyFont="1" applyFill="1" applyBorder="1" applyAlignment="1">
      <alignment horizontal="center" vertical="center"/>
    </xf>
    <xf numFmtId="0" fontId="61" fillId="52" borderId="54" xfId="0" applyFont="1" applyFill="1" applyBorder="1" applyAlignment="1">
      <alignment horizontal="center"/>
    </xf>
    <xf numFmtId="0" fontId="340" fillId="52" borderId="300" xfId="0" applyFont="1" applyFill="1" applyBorder="1" applyAlignment="1">
      <alignment horizontal="center"/>
    </xf>
    <xf numFmtId="0" fontId="38" fillId="52" borderId="33" xfId="0" applyFont="1" applyFill="1" applyBorder="1"/>
    <xf numFmtId="0" fontId="359" fillId="51" borderId="317" xfId="0" applyFont="1" applyFill="1" applyBorder="1"/>
    <xf numFmtId="0" fontId="287" fillId="51" borderId="253" xfId="0" applyFont="1" applyFill="1" applyBorder="1"/>
    <xf numFmtId="0" fontId="83" fillId="51" borderId="74" xfId="0" applyFont="1" applyFill="1" applyBorder="1" applyAlignment="1">
      <alignment horizontal="center" vertical="center"/>
    </xf>
    <xf numFmtId="0" fontId="380" fillId="51" borderId="334" xfId="0" applyFont="1" applyFill="1" applyBorder="1" applyAlignment="1">
      <alignment horizontal="center" vertical="center" wrapText="1"/>
    </xf>
    <xf numFmtId="0" fontId="473" fillId="52" borderId="420" xfId="0" applyFont="1" applyFill="1" applyBorder="1" applyAlignment="1">
      <alignment horizontal="center" vertical="center"/>
    </xf>
    <xf numFmtId="0" fontId="463" fillId="52" borderId="410" xfId="0" applyFont="1" applyFill="1" applyBorder="1" applyAlignment="1">
      <alignment horizontal="center"/>
    </xf>
    <xf numFmtId="0" fontId="371" fillId="52" borderId="327" xfId="0" applyFont="1" applyFill="1" applyBorder="1" applyAlignment="1">
      <alignment horizontal="center"/>
    </xf>
    <xf numFmtId="4" fontId="311" fillId="51" borderId="272" xfId="0" applyNumberFormat="1" applyFont="1" applyFill="1" applyBorder="1" applyAlignment="1">
      <alignment horizontal="center"/>
    </xf>
    <xf numFmtId="0" fontId="257" fillId="51" borderId="230" xfId="0" applyFont="1" applyFill="1" applyBorder="1" applyAlignment="1">
      <alignment horizontal="left"/>
    </xf>
    <xf numFmtId="166" fontId="62" fillId="51" borderId="55" xfId="0" applyNumberFormat="1" applyFont="1" applyFill="1" applyBorder="1" applyAlignment="1">
      <alignment horizontal="left" vertical="center" wrapText="1"/>
    </xf>
    <xf numFmtId="0" fontId="149" fillId="51" borderId="137" xfId="0" applyFont="1" applyFill="1" applyBorder="1" applyAlignment="1">
      <alignment vertical="center" wrapText="1"/>
    </xf>
    <xf numFmtId="0" fontId="304" fillId="51" borderId="265" xfId="0" applyFont="1" applyFill="1" applyBorder="1" applyAlignment="1">
      <alignment horizontal="right"/>
    </xf>
    <xf numFmtId="1" fontId="269" fillId="52" borderId="24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1"/>
          <c:order val="0"/>
          <c:tx>
            <c:strRef>
              <c:f>'Tableau simu'!$G$22</c:f>
              <c:strCache>
                <c:ptCount val="1"/>
                <c:pt idx="0">
                  <c:v>Résultat</c:v>
                </c:pt>
              </c:strCache>
            </c:strRef>
          </c:tx>
          <c:cat>
            <c:numRef>
              <c:f>'Tableau simu'!$F$23:$F$31</c:f>
              <c:numCache>
                <c:formatCode>0.00</c:formatCode>
                <c:ptCount val="9"/>
                <c:pt idx="0" formatCode="#,##0.00">
                  <c:v>80000</c:v>
                </c:pt>
                <c:pt idx="1">
                  <c:v>82500</c:v>
                </c:pt>
                <c:pt idx="2">
                  <c:v>85000</c:v>
                </c:pt>
                <c:pt idx="3">
                  <c:v>87500</c:v>
                </c:pt>
                <c:pt idx="4">
                  <c:v>90000</c:v>
                </c:pt>
                <c:pt idx="5">
                  <c:v>92500</c:v>
                </c:pt>
                <c:pt idx="6">
                  <c:v>95000</c:v>
                </c:pt>
                <c:pt idx="7">
                  <c:v>97500</c:v>
                </c:pt>
                <c:pt idx="8">
                  <c:v>100000</c:v>
                </c:pt>
              </c:numCache>
            </c:numRef>
          </c:cat>
          <c:val>
            <c:numRef>
              <c:f>'Tableau simu'!$G$23:$G$31</c:f>
              <c:numCache>
                <c:formatCode>#,##0.00</c:formatCode>
                <c:ptCount val="9"/>
                <c:pt idx="0">
                  <c:v>-18935.63</c:v>
                </c:pt>
                <c:pt idx="1">
                  <c:v>-662</c:v>
                </c:pt>
                <c:pt idx="2">
                  <c:v>17611.63</c:v>
                </c:pt>
                <c:pt idx="3">
                  <c:v>35883.71</c:v>
                </c:pt>
                <c:pt idx="4">
                  <c:v>54152.4</c:v>
                </c:pt>
                <c:pt idx="5">
                  <c:v>72407.83</c:v>
                </c:pt>
                <c:pt idx="6">
                  <c:v>90584.07</c:v>
                </c:pt>
                <c:pt idx="7">
                  <c:v>108760.3</c:v>
                </c:pt>
                <c:pt idx="8">
                  <c:v>126900.91</c:v>
                </c:pt>
              </c:numCache>
            </c:numRef>
          </c:val>
        </c:ser>
        <c:dLbls>
          <c:showVal val="1"/>
        </c:dLbls>
        <c:marker val="1"/>
        <c:axId val="182611968"/>
        <c:axId val="182613504"/>
      </c:lineChart>
      <c:catAx>
        <c:axId val="182611968"/>
        <c:scaling>
          <c:orientation val="minMax"/>
        </c:scaling>
        <c:axPos val="b"/>
        <c:numFmt formatCode="#,##0.00" sourceLinked="1"/>
        <c:tickLblPos val="high"/>
        <c:crossAx val="182613504"/>
        <c:crosses val="autoZero"/>
        <c:auto val="1"/>
        <c:lblAlgn val="ctr"/>
        <c:lblOffset val="100"/>
      </c:catAx>
      <c:valAx>
        <c:axId val="182613504"/>
        <c:scaling>
          <c:orientation val="minMax"/>
        </c:scaling>
        <c:axPos val="l"/>
        <c:majorGridlines/>
        <c:numFmt formatCode="#,##0.00" sourceLinked="1"/>
        <c:tickLblPos val="nextTo"/>
        <c:crossAx val="182611968"/>
        <c:crosses val="autoZero"/>
        <c:crossBetween val="between"/>
        <c:dispUnits>
          <c:builtInUnit val="thousand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5400" cmpd="sng">
              <a:solidFill>
                <a:srgbClr val="4684EE"/>
              </a:solidFill>
            </a:ln>
          </c:spPr>
          <c:marker>
            <c:symbol val="none"/>
          </c:marker>
          <c:cat>
            <c:strRef>
              <c:f>'Trésorerie '!$C$1:$AA$1</c:f>
              <c:strCache>
                <c:ptCount val="25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  <c:pt idx="12">
                  <c:v>Janv</c:v>
                </c:pt>
                <c:pt idx="13">
                  <c:v>Fév</c:v>
                </c:pt>
                <c:pt idx="14">
                  <c:v>Mars</c:v>
                </c:pt>
                <c:pt idx="15">
                  <c:v>Avril</c:v>
                </c:pt>
                <c:pt idx="16">
                  <c:v>Mai</c:v>
                </c:pt>
                <c:pt idx="17">
                  <c:v>Juin</c:v>
                </c:pt>
                <c:pt idx="18">
                  <c:v>Juillet</c:v>
                </c:pt>
                <c:pt idx="19">
                  <c:v>Août</c:v>
                </c:pt>
                <c:pt idx="20">
                  <c:v>Septembre</c:v>
                </c:pt>
                <c:pt idx="21">
                  <c:v>Octobre</c:v>
                </c:pt>
                <c:pt idx="22">
                  <c:v>Novembre</c:v>
                </c:pt>
                <c:pt idx="23">
                  <c:v>Décembre</c:v>
                </c:pt>
                <c:pt idx="24">
                  <c:v>Janvier</c:v>
                </c:pt>
              </c:strCache>
            </c:strRef>
          </c:cat>
          <c:val>
            <c:numRef>
              <c:f>'Trésorerie '!$C$3:$AA$3</c:f>
              <c:numCache>
                <c:formatCode>0.00</c:formatCode>
                <c:ptCount val="25"/>
                <c:pt idx="0" formatCode="0">
                  <c:v>0</c:v>
                </c:pt>
                <c:pt idx="1">
                  <c:v>3287.948703750842</c:v>
                </c:pt>
                <c:pt idx="2">
                  <c:v>-22732.502592498331</c:v>
                </c:pt>
                <c:pt idx="3">
                  <c:v>-48752.953888747506</c:v>
                </c:pt>
                <c:pt idx="4">
                  <c:v>-66300.84270660083</c:v>
                </c:pt>
                <c:pt idx="5">
                  <c:v>-94681.888618589568</c:v>
                </c:pt>
                <c:pt idx="6">
                  <c:v>-78919.166937393748</c:v>
                </c:pt>
                <c:pt idx="7">
                  <c:v>-67371.753972131162</c:v>
                </c:pt>
                <c:pt idx="8">
                  <c:v>-25983.544992858617</c:v>
                </c:pt>
                <c:pt idx="9">
                  <c:v>4274.0124277911164</c:v>
                </c:pt>
                <c:pt idx="10">
                  <c:v>34876.471589934794</c:v>
                </c:pt>
                <c:pt idx="11">
                  <c:v>65695.460293685624</c:v>
                </c:pt>
                <c:pt idx="12">
                  <c:v>96514.448997436455</c:v>
                </c:pt>
                <c:pt idx="13">
                  <c:v>87326.677701187291</c:v>
                </c:pt>
                <c:pt idx="14">
                  <c:v>104118.66640493811</c:v>
                </c:pt>
                <c:pt idx="15">
                  <c:v>128955.65510868892</c:v>
                </c:pt>
                <c:pt idx="16">
                  <c:v>127520.64381243974</c:v>
                </c:pt>
                <c:pt idx="17">
                  <c:v>140400.03251619055</c:v>
                </c:pt>
                <c:pt idx="18">
                  <c:v>174308.86121994138</c:v>
                </c:pt>
                <c:pt idx="19">
                  <c:v>155853.84992369221</c:v>
                </c:pt>
                <c:pt idx="20">
                  <c:v>222550.83862744307</c:v>
                </c:pt>
                <c:pt idx="21">
                  <c:v>192335.8273311939</c:v>
                </c:pt>
                <c:pt idx="22">
                  <c:v>259032.81603494473</c:v>
                </c:pt>
                <c:pt idx="23">
                  <c:v>228817.80473869556</c:v>
                </c:pt>
                <c:pt idx="24">
                  <c:v>295514.79344244639</c:v>
                </c:pt>
              </c:numCache>
            </c:numRef>
          </c:val>
        </c:ser>
        <c:marker val="1"/>
        <c:axId val="182938624"/>
        <c:axId val="183190272"/>
      </c:lineChart>
      <c:catAx>
        <c:axId val="182938624"/>
        <c:scaling>
          <c:orientation val="minMax"/>
        </c:scaling>
        <c:axPos val="b"/>
        <c:tickLblPos val="nextTo"/>
        <c:txPr>
          <a:bodyPr/>
          <a:lstStyle/>
          <a:p>
            <a:pPr>
              <a:defRPr/>
            </a:pPr>
            <a:endParaRPr lang="fr-FR"/>
          </a:p>
        </c:txPr>
        <c:crossAx val="183190272"/>
        <c:crosses val="autoZero"/>
        <c:lblAlgn val="ctr"/>
        <c:lblOffset val="100"/>
      </c:catAx>
      <c:valAx>
        <c:axId val="183190272"/>
        <c:scaling>
          <c:orientation val="minMax"/>
        </c:scaling>
        <c:axPos val="l"/>
        <c:majorGridlines/>
        <c:numFmt formatCode="0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fr-FR"/>
          </a:p>
        </c:txPr>
        <c:crossAx val="182938624"/>
        <c:crosses val="autoZero"/>
        <c:crossBetween val="between"/>
      </c:valAx>
    </c:plotArea>
    <c:legend>
      <c:legendPos val="r"/>
      <c:layout/>
    </c:legend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lineChart>
        <c:grouping val="standard"/>
        <c:ser>
          <c:idx val="0"/>
          <c:order val="0"/>
          <c:spPr>
            <a:ln w="25400" cmpd="sng">
              <a:solidFill>
                <a:srgbClr val="4684EE"/>
              </a:solidFill>
            </a:ln>
          </c:spPr>
          <c:marker>
            <c:symbol val="none"/>
          </c:marker>
          <c:cat>
            <c:numRef>
              <c:f>'Charges '!$E$3:$E$6</c:f>
              <c:numCache>
                <c:formatCode>General</c:formatCode>
                <c:ptCount val="4"/>
              </c:numCache>
            </c:numRef>
          </c:cat>
          <c:val>
            <c:numRef>
              <c:f>'Charges '!$H$3:$H$6</c:f>
              <c:numCache>
                <c:formatCode>0.00%</c:formatCode>
                <c:ptCount val="4"/>
              </c:numCache>
            </c:numRef>
          </c:val>
        </c:ser>
        <c:marker val="1"/>
        <c:axId val="183345536"/>
        <c:axId val="183347072"/>
      </c:lineChart>
      <c:catAx>
        <c:axId val="1833455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/>
            </a:pPr>
            <a:endParaRPr lang="fr-FR"/>
          </a:p>
        </c:txPr>
        <c:crossAx val="183347072"/>
        <c:crosses val="autoZero"/>
        <c:lblAlgn val="ctr"/>
        <c:lblOffset val="100"/>
      </c:catAx>
      <c:valAx>
        <c:axId val="183347072"/>
        <c:scaling>
          <c:orientation val="minMax"/>
        </c:scaling>
        <c:axPos val="l"/>
        <c:majorGridlines/>
        <c:numFmt formatCode="0.00%" sourceLinked="1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fr-FR"/>
          </a:p>
        </c:txPr>
        <c:crossAx val="183345536"/>
        <c:crosses val="autoZero"/>
        <c:crossBetween val="between"/>
      </c:valAx>
    </c:plotArea>
    <c:legend>
      <c:legendPos val="r"/>
      <c:layout/>
    </c:legend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6</xdr:row>
      <xdr:rowOff>28575</xdr:rowOff>
    </xdr:from>
    <xdr:to>
      <xdr:col>17</xdr:col>
      <xdr:colOff>552449</xdr:colOff>
      <xdr:row>22</xdr:row>
      <xdr:rowOff>133350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2076450</xdr:colOff>
      <xdr:row>59</xdr:row>
      <xdr:rowOff>123825</xdr:rowOff>
    </xdr:from>
    <xdr:ext cx="14201775" cy="3314700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2</xdr:row>
      <xdr:rowOff>76200</xdr:rowOff>
    </xdr:from>
    <xdr:ext cx="4286250" cy="6810375"/>
    <xdr:graphicFrame macro=""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G12" sqref="G12"/>
    </sheetView>
  </sheetViews>
  <sheetFormatPr baseColWidth="10" defaultColWidth="10.6640625" defaultRowHeight="12.75" customHeight="1"/>
  <cols>
    <col min="1" max="1" width="45.33203125" customWidth="1"/>
    <col min="2" max="2" width="9.109375" customWidth="1"/>
    <col min="3" max="4" width="8.33203125" customWidth="1"/>
    <col min="5" max="5" width="49.33203125" customWidth="1"/>
    <col min="6" max="6" width="9.33203125" customWidth="1"/>
    <col min="8" max="8" width="11.109375" customWidth="1"/>
  </cols>
  <sheetData>
    <row r="1" spans="1:8" ht="22.5" customHeight="1">
      <c r="A1" s="109" t="s">
        <v>0</v>
      </c>
      <c r="B1" s="354" t="s">
        <v>1</v>
      </c>
      <c r="C1" s="455" t="s">
        <v>2</v>
      </c>
      <c r="D1" s="455"/>
      <c r="E1" s="54" t="s">
        <v>3</v>
      </c>
      <c r="F1" s="354" t="s">
        <v>4</v>
      </c>
      <c r="G1" s="435" t="s">
        <v>5</v>
      </c>
      <c r="H1" s="280"/>
    </row>
    <row r="2" spans="1:8" ht="39" customHeight="1">
      <c r="A2" s="378" t="s">
        <v>6</v>
      </c>
      <c r="B2" s="409" t="s">
        <v>7</v>
      </c>
      <c r="C2" s="409" t="s">
        <v>7</v>
      </c>
      <c r="D2" s="328" t="s">
        <v>8</v>
      </c>
      <c r="E2" s="378"/>
      <c r="F2" s="244"/>
      <c r="G2" s="412"/>
      <c r="H2" s="317"/>
    </row>
    <row r="3" spans="1:8" ht="13.2">
      <c r="A3" s="227" t="s">
        <v>9</v>
      </c>
      <c r="B3" s="408" t="s">
        <v>10</v>
      </c>
      <c r="C3" s="408" t="s">
        <v>11</v>
      </c>
      <c r="D3" s="284" t="s">
        <v>10</v>
      </c>
      <c r="E3" s="35" t="s">
        <v>12</v>
      </c>
      <c r="F3" s="330">
        <f>(((((((('Prod,Fact,Encaisse'!F9+'Prod,Fact,Encaisse'!G12)+'Prod,Fact,Encaisse'!H15)+'Prod,Fact,Encaisse'!I18)+'Prod,Fact,Encaisse'!J21)+'Prod,Fact,Encaisse'!K24)+'Prod,Fact,Encaisse'!L27)+'Prod,Fact,Encaisse'!M30)+'Prod,Fact,Encaisse'!N33)+'Prod,Fact,Encaisse'!O36</f>
        <v>10</v>
      </c>
      <c r="G3" s="279">
        <f>(((((((((('Prod,Fact,Encaisse'!P3+'Prod,Fact,Encaisse'!Q6)+'Prod,Fact,Encaisse'!R9)+'Prod,Fact,Encaisse'!S12)+'Prod,Fact,Encaisse'!T15)+'Prod,Fact,Encaisse'!U18)+'Prod,Fact,Encaisse'!V21)+'Prod,Fact,Encaisse'!W24)+'Prod,Fact,Encaisse'!X27)+'Prod,Fact,Encaisse'!Y30)+'Prod,Fact,Encaisse'!Z33)+'Prod,Fact,Encaisse'!AA36</f>
        <v>12</v>
      </c>
      <c r="H3" s="317"/>
    </row>
    <row r="4" spans="1:8" ht="13.2">
      <c r="A4" s="227" t="s">
        <v>13</v>
      </c>
      <c r="B4" s="408" t="s">
        <v>10</v>
      </c>
      <c r="C4" s="408" t="s">
        <v>11</v>
      </c>
      <c r="D4" s="284" t="s">
        <v>11</v>
      </c>
      <c r="E4" s="35" t="s">
        <v>14</v>
      </c>
      <c r="F4" s="330">
        <v>0</v>
      </c>
      <c r="G4" s="279">
        <f>(((('Prod,Fact,Encaisse'!Q45+'Prod,Fact,Encaisse'!S51)+'Prod,Fact,Encaisse'!U57)+'Prod,Fact,Encaisse'!W63)+'Prod,Fact,Encaisse'!Y69)+'Prod,Fact,Encaisse'!AA75</f>
        <v>6</v>
      </c>
      <c r="H4" s="317"/>
    </row>
    <row r="5" spans="1:8" ht="13.2">
      <c r="A5" s="227" t="s">
        <v>15</v>
      </c>
      <c r="B5" s="439" t="s">
        <v>11</v>
      </c>
      <c r="C5" s="408" t="s">
        <v>11</v>
      </c>
      <c r="D5" s="284" t="s">
        <v>10</v>
      </c>
      <c r="E5" s="35" t="s">
        <v>16</v>
      </c>
      <c r="F5" s="330">
        <f>'Prod,Fact,Encaisse'!B21</f>
        <v>6</v>
      </c>
      <c r="G5" s="279">
        <f>'Prod,Fact,Encaisse'!B22</f>
        <v>12</v>
      </c>
      <c r="H5" s="256"/>
    </row>
    <row r="6" spans="1:8" ht="13.2">
      <c r="A6" s="227" t="s">
        <v>17</v>
      </c>
      <c r="B6" s="408" t="s">
        <v>11</v>
      </c>
      <c r="C6" s="408" t="s">
        <v>11</v>
      </c>
      <c r="D6" s="284" t="s">
        <v>11</v>
      </c>
      <c r="E6" s="35" t="s">
        <v>18</v>
      </c>
      <c r="F6" s="330">
        <v>0</v>
      </c>
      <c r="G6" s="279">
        <f>'Prod,Fact,Encaisse'!B23</f>
        <v>3</v>
      </c>
      <c r="H6" s="256"/>
    </row>
    <row r="7" spans="1:8" ht="13.2">
      <c r="A7" s="227" t="s">
        <v>19</v>
      </c>
      <c r="B7" s="408" t="s">
        <v>11</v>
      </c>
      <c r="C7" s="408" t="s">
        <v>11</v>
      </c>
      <c r="D7" s="284" t="s">
        <v>10</v>
      </c>
      <c r="E7" s="190"/>
      <c r="F7" s="244"/>
      <c r="G7" s="357"/>
      <c r="H7" s="317"/>
    </row>
    <row r="8" spans="1:8" ht="13.2">
      <c r="A8" s="227" t="s">
        <v>20</v>
      </c>
      <c r="B8" s="408" t="s">
        <v>11</v>
      </c>
      <c r="C8" s="408" t="s">
        <v>11</v>
      </c>
      <c r="D8" s="284" t="s">
        <v>11</v>
      </c>
      <c r="E8" s="378" t="s">
        <v>21</v>
      </c>
      <c r="F8" s="164">
        <f>'Produits '!C34</f>
        <v>738251.53269493848</v>
      </c>
      <c r="G8" s="164">
        <f>'Produits '!D34</f>
        <v>1496234.8174091589</v>
      </c>
      <c r="H8" s="64"/>
    </row>
    <row r="9" spans="1:8" ht="13.2">
      <c r="A9" s="227" t="s">
        <v>22</v>
      </c>
      <c r="B9" s="408" t="s">
        <v>11</v>
      </c>
      <c r="C9" s="408" t="s">
        <v>11</v>
      </c>
      <c r="D9" s="284" t="s">
        <v>10</v>
      </c>
      <c r="E9" s="378" t="s">
        <v>23</v>
      </c>
      <c r="F9" s="164">
        <f>'Charges '!C49</f>
        <v>604066.83333333337</v>
      </c>
      <c r="G9" s="164">
        <f>'Charges '!D49</f>
        <v>1273719.2777777778</v>
      </c>
      <c r="H9" s="64"/>
    </row>
    <row r="10" spans="1:8" ht="13.2">
      <c r="A10" s="227" t="s">
        <v>24</v>
      </c>
      <c r="B10" s="408" t="s">
        <v>11</v>
      </c>
      <c r="C10" s="408" t="s">
        <v>11</v>
      </c>
      <c r="D10" s="284" t="s">
        <v>11</v>
      </c>
      <c r="E10" s="378" t="s">
        <v>25</v>
      </c>
      <c r="F10" s="164">
        <f>'Charges '!C66</f>
        <v>126900.91176942585</v>
      </c>
      <c r="G10" s="164">
        <f>'Charges '!D66</f>
        <v>220062.92999244132</v>
      </c>
      <c r="H10" s="64"/>
    </row>
    <row r="11" spans="1:8" ht="13.2">
      <c r="A11" s="227" t="s">
        <v>26</v>
      </c>
      <c r="B11" s="408" t="s">
        <v>11</v>
      </c>
      <c r="C11" s="408" t="s">
        <v>11</v>
      </c>
      <c r="D11" s="284" t="s">
        <v>10</v>
      </c>
      <c r="E11" s="378" t="s">
        <v>27</v>
      </c>
      <c r="F11" s="164">
        <v>0</v>
      </c>
      <c r="G11" s="260">
        <v>0</v>
      </c>
      <c r="H11" s="51"/>
    </row>
    <row r="12" spans="1:8" ht="13.2">
      <c r="A12" s="227" t="s">
        <v>28</v>
      </c>
      <c r="B12" s="408" t="s">
        <v>11</v>
      </c>
      <c r="C12" s="408" t="s">
        <v>11</v>
      </c>
      <c r="D12" s="284" t="s">
        <v>11</v>
      </c>
      <c r="E12" s="211" t="s">
        <v>29</v>
      </c>
      <c r="F12" s="76">
        <f>'Trésorerie '!O3</f>
        <v>96514.448997436455</v>
      </c>
      <c r="G12" s="260">
        <f>'Trésorerie '!AA3</f>
        <v>295514.79344244639</v>
      </c>
      <c r="H12" s="84"/>
    </row>
    <row r="13" spans="1:8" ht="13.2">
      <c r="A13" s="227" t="s">
        <v>30</v>
      </c>
      <c r="B13" s="408" t="s">
        <v>11</v>
      </c>
      <c r="C13" s="408" t="s">
        <v>11</v>
      </c>
      <c r="D13" s="284" t="s">
        <v>10</v>
      </c>
      <c r="E13" s="378" t="s">
        <v>31</v>
      </c>
      <c r="F13" s="164">
        <f>'Charges '!C58</f>
        <v>7283.7875921792784</v>
      </c>
      <c r="G13" s="164">
        <f>'Charges '!D58</f>
        <v>2452.6096389398072</v>
      </c>
      <c r="H13" s="102"/>
    </row>
    <row r="14" spans="1:8" ht="13.2">
      <c r="A14" s="227" t="s">
        <v>32</v>
      </c>
      <c r="B14" s="408" t="s">
        <v>11</v>
      </c>
      <c r="C14" s="408" t="s">
        <v>11</v>
      </c>
      <c r="D14" s="284" t="s">
        <v>11</v>
      </c>
      <c r="E14" s="227" t="s">
        <v>33</v>
      </c>
      <c r="F14" s="147">
        <f>'Charges '!C55</f>
        <v>3372.8554475734982</v>
      </c>
      <c r="G14" s="147">
        <f>'Charges '!D55</f>
        <v>0</v>
      </c>
      <c r="H14" s="102"/>
    </row>
    <row r="15" spans="1:8" ht="26.25" customHeight="1">
      <c r="A15" s="114" t="s">
        <v>34</v>
      </c>
      <c r="B15" s="347" t="s">
        <v>35</v>
      </c>
      <c r="C15" s="347" t="s">
        <v>35</v>
      </c>
      <c r="D15" s="234" t="s">
        <v>36</v>
      </c>
      <c r="E15" s="196" t="s">
        <v>37</v>
      </c>
      <c r="F15" s="47">
        <f>'Charges '!C54</f>
        <v>3910.9321446057802</v>
      </c>
      <c r="G15" s="47">
        <f>'Charges '!D54</f>
        <v>2452.6096389398072</v>
      </c>
      <c r="H15" s="102"/>
    </row>
    <row r="16" spans="1:8" ht="13.2">
      <c r="A16" s="378" t="s">
        <v>38</v>
      </c>
      <c r="B16" s="223">
        <v>100000</v>
      </c>
      <c r="C16" s="223">
        <v>80000</v>
      </c>
      <c r="D16" s="97"/>
      <c r="E16" s="378" t="s">
        <v>39</v>
      </c>
      <c r="F16" s="164">
        <f>'Passif '!D44</f>
        <v>299294.02835904155</v>
      </c>
      <c r="G16" s="260">
        <f>'Passif '!F44</f>
        <v>440959.35854268307</v>
      </c>
      <c r="H16" s="84"/>
    </row>
    <row r="17" spans="1:8" ht="13.2">
      <c r="A17" s="378" t="s">
        <v>40</v>
      </c>
      <c r="B17" s="223"/>
      <c r="C17" s="223"/>
      <c r="D17" s="97">
        <v>120000</v>
      </c>
      <c r="E17" s="378" t="s">
        <v>41</v>
      </c>
      <c r="F17" s="164">
        <f>'Actif '!E51</f>
        <v>299294.02835904155</v>
      </c>
      <c r="G17" s="164">
        <f>'Actif '!H51</f>
        <v>511793.01974049432</v>
      </c>
      <c r="H17" s="64"/>
    </row>
    <row r="18" spans="1:8" ht="13.2">
      <c r="A18" s="227"/>
      <c r="B18" s="369"/>
      <c r="C18" s="369"/>
      <c r="D18" s="349"/>
      <c r="E18" s="378" t="s">
        <v>42</v>
      </c>
      <c r="F18" s="164">
        <f>'FR, BFR,CA max'!B7</f>
        <v>119752.46779962527</v>
      </c>
      <c r="G18" s="164">
        <f>'FR, BFR,CA max'!B26</f>
        <v>389768.13051327417</v>
      </c>
      <c r="H18" s="64"/>
    </row>
    <row r="19" spans="1:8" ht="13.5" customHeight="1" thickBot="1">
      <c r="A19" s="378" t="s">
        <v>43</v>
      </c>
      <c r="B19" s="247"/>
      <c r="C19" s="247"/>
      <c r="D19" s="344"/>
      <c r="E19" s="184" t="s">
        <v>44</v>
      </c>
      <c r="F19" s="164">
        <f>'FR, BFR,CA max'!B16</f>
        <v>23238.018802188803</v>
      </c>
      <c r="G19" s="164">
        <f>'FR, BFR,CA max'!B36</f>
        <v>352849.56767059583</v>
      </c>
      <c r="H19" s="64"/>
    </row>
    <row r="20" spans="1:8" ht="13.2">
      <c r="A20" s="227" t="s">
        <v>45</v>
      </c>
      <c r="B20" s="369">
        <v>0.1</v>
      </c>
      <c r="C20" s="369">
        <v>0.1</v>
      </c>
      <c r="D20" s="349">
        <v>0.1</v>
      </c>
      <c r="E20" s="392"/>
      <c r="F20" s="32"/>
      <c r="G20" s="32"/>
      <c r="H20" s="186"/>
    </row>
    <row r="21" spans="1:8" ht="13.5" customHeight="1" thickBot="1">
      <c r="A21" s="227" t="s">
        <v>46</v>
      </c>
      <c r="B21" s="369">
        <v>0.4</v>
      </c>
      <c r="C21" s="369">
        <v>0.4</v>
      </c>
      <c r="D21" s="349">
        <v>0.4</v>
      </c>
      <c r="E21" s="256"/>
      <c r="F21" s="41"/>
      <c r="G21" s="41"/>
      <c r="H21" s="20"/>
    </row>
    <row r="22" spans="1:8" ht="13.2">
      <c r="A22" s="227" t="s">
        <v>47</v>
      </c>
      <c r="B22" s="379">
        <f>1-(B20+B21)</f>
        <v>0.5</v>
      </c>
      <c r="C22" s="379">
        <f>1-(C20+C21)</f>
        <v>0.5</v>
      </c>
      <c r="D22" s="79">
        <f>1-(D20+D21)</f>
        <v>0.5</v>
      </c>
      <c r="E22" s="136"/>
      <c r="F22" s="15" t="s">
        <v>48</v>
      </c>
      <c r="G22" s="269" t="s">
        <v>49</v>
      </c>
      <c r="H22" s="390"/>
    </row>
    <row r="23" spans="1:8" ht="13.2">
      <c r="A23" s="227" t="s">
        <v>50</v>
      </c>
      <c r="B23" s="456">
        <v>30</v>
      </c>
      <c r="C23" s="456"/>
      <c r="D23" s="456"/>
      <c r="E23" s="340"/>
      <c r="F23" s="274">
        <v>80000</v>
      </c>
      <c r="G23" s="440">
        <v>-18935.63</v>
      </c>
      <c r="H23" s="390"/>
    </row>
    <row r="24" spans="1:8" ht="13.2">
      <c r="A24" s="378" t="s">
        <v>51</v>
      </c>
      <c r="B24" s="226"/>
      <c r="C24" s="226"/>
      <c r="D24" s="116"/>
      <c r="E24" s="136"/>
      <c r="F24" s="111">
        <v>82500</v>
      </c>
      <c r="G24" s="440">
        <v>-662</v>
      </c>
      <c r="H24" s="390"/>
    </row>
    <row r="25" spans="1:8" ht="13.2">
      <c r="A25" s="227" t="s">
        <v>52</v>
      </c>
      <c r="B25" s="245" t="s">
        <v>53</v>
      </c>
      <c r="C25" s="245" t="s">
        <v>53</v>
      </c>
      <c r="D25" s="74" t="s">
        <v>53</v>
      </c>
      <c r="E25" s="400"/>
      <c r="F25" s="111">
        <v>85000</v>
      </c>
      <c r="G25" s="440">
        <v>17611.63</v>
      </c>
      <c r="H25" s="12"/>
    </row>
    <row r="26" spans="1:8" ht="13.2">
      <c r="A26" s="227" t="s">
        <v>54</v>
      </c>
      <c r="B26" s="245" t="s">
        <v>53</v>
      </c>
      <c r="C26" s="245" t="s">
        <v>53</v>
      </c>
      <c r="D26" s="74" t="s">
        <v>53</v>
      </c>
      <c r="E26" s="400"/>
      <c r="F26" s="111">
        <v>87500</v>
      </c>
      <c r="G26" s="440">
        <v>35883.71</v>
      </c>
      <c r="H26" s="12"/>
    </row>
    <row r="27" spans="1:8" ht="13.2">
      <c r="A27" s="378" t="s">
        <v>55</v>
      </c>
      <c r="B27" s="408"/>
      <c r="C27" s="408"/>
      <c r="D27" s="284"/>
      <c r="E27" s="400"/>
      <c r="F27" s="111">
        <v>90000</v>
      </c>
      <c r="G27" s="440">
        <v>54152.4</v>
      </c>
      <c r="H27" s="73"/>
    </row>
    <row r="28" spans="1:8" ht="13.2">
      <c r="A28" s="227" t="s">
        <v>56</v>
      </c>
      <c r="B28" s="223">
        <v>65000</v>
      </c>
      <c r="C28" s="454">
        <v>0</v>
      </c>
      <c r="D28" s="454"/>
      <c r="E28" s="366"/>
      <c r="F28" s="111">
        <v>92500</v>
      </c>
      <c r="G28" s="440">
        <v>72407.83</v>
      </c>
      <c r="H28" s="12"/>
    </row>
    <row r="29" spans="1:8" ht="13.2">
      <c r="A29" s="227" t="s">
        <v>57</v>
      </c>
      <c r="B29" s="408">
        <v>36</v>
      </c>
      <c r="C29" s="454">
        <v>0</v>
      </c>
      <c r="D29" s="454"/>
      <c r="E29" s="340"/>
      <c r="F29" s="111">
        <v>95000</v>
      </c>
      <c r="G29" s="440">
        <v>90584.07</v>
      </c>
      <c r="H29" s="12"/>
    </row>
    <row r="30" spans="1:8" ht="13.2">
      <c r="A30" s="227" t="s">
        <v>58</v>
      </c>
      <c r="B30" s="369">
        <v>7.0000000000000007E-2</v>
      </c>
      <c r="C30" s="452">
        <v>0</v>
      </c>
      <c r="D30" s="452"/>
      <c r="E30" s="340"/>
      <c r="F30" s="111">
        <v>97500</v>
      </c>
      <c r="G30" s="440">
        <v>108760.3</v>
      </c>
      <c r="H30" s="313"/>
    </row>
    <row r="31" spans="1:8" ht="13.5" customHeight="1">
      <c r="A31" s="378" t="s">
        <v>59</v>
      </c>
      <c r="B31" s="176">
        <v>0.1</v>
      </c>
      <c r="C31" s="453">
        <v>0.1</v>
      </c>
      <c r="D31" s="453"/>
      <c r="E31" s="340"/>
      <c r="F31" s="325">
        <v>100000</v>
      </c>
      <c r="G31" s="441">
        <v>126900.91</v>
      </c>
      <c r="H31" s="123"/>
    </row>
    <row r="32" spans="1:8" ht="13.2">
      <c r="A32" s="378" t="s">
        <v>60</v>
      </c>
      <c r="B32" s="369">
        <v>0</v>
      </c>
      <c r="C32" s="452">
        <v>0</v>
      </c>
      <c r="D32" s="452"/>
      <c r="E32" s="89"/>
      <c r="F32" s="402"/>
      <c r="G32" s="208"/>
      <c r="H32" s="276"/>
    </row>
    <row r="33" spans="1:8" ht="13.2">
      <c r="A33" s="378" t="s">
        <v>61</v>
      </c>
      <c r="B33" s="244"/>
      <c r="C33" s="244"/>
      <c r="D33" s="357"/>
      <c r="E33" s="256"/>
      <c r="F33" s="168"/>
      <c r="G33" s="251"/>
      <c r="H33" s="276"/>
    </row>
    <row r="34" spans="1:8" ht="13.2">
      <c r="A34" s="227" t="s">
        <v>62</v>
      </c>
      <c r="B34" s="408">
        <v>3000</v>
      </c>
      <c r="C34" s="454">
        <v>3500</v>
      </c>
      <c r="D34" s="454"/>
      <c r="E34" s="89"/>
      <c r="F34" s="168"/>
      <c r="G34" s="251"/>
      <c r="H34" s="276"/>
    </row>
    <row r="35" spans="1:8" ht="13.2">
      <c r="A35" s="227" t="s">
        <v>63</v>
      </c>
      <c r="B35" s="408">
        <v>3000</v>
      </c>
      <c r="C35" s="454">
        <v>3500</v>
      </c>
      <c r="D35" s="454"/>
      <c r="E35" s="89"/>
      <c r="F35" s="168"/>
      <c r="G35" s="251"/>
      <c r="H35" s="276"/>
    </row>
    <row r="36" spans="1:8" ht="13.2">
      <c r="A36" s="227" t="s">
        <v>64</v>
      </c>
      <c r="B36" s="408">
        <v>3000</v>
      </c>
      <c r="C36" s="454">
        <v>3500</v>
      </c>
      <c r="D36" s="454"/>
      <c r="E36" s="89"/>
      <c r="F36" s="168"/>
      <c r="G36" s="251"/>
      <c r="H36" s="276"/>
    </row>
    <row r="37" spans="1:8" ht="13.2">
      <c r="A37" s="227" t="s">
        <v>65</v>
      </c>
      <c r="B37" s="408">
        <v>1200</v>
      </c>
      <c r="C37" s="454">
        <v>1500</v>
      </c>
      <c r="D37" s="454"/>
      <c r="E37" s="89"/>
      <c r="F37" s="168"/>
      <c r="G37" s="251"/>
      <c r="H37" s="276"/>
    </row>
    <row r="38" spans="1:8" ht="13.2">
      <c r="A38" s="227" t="s">
        <v>66</v>
      </c>
      <c r="B38" s="408">
        <v>0</v>
      </c>
      <c r="C38" s="454">
        <v>2800</v>
      </c>
      <c r="D38" s="454"/>
      <c r="E38" s="89"/>
      <c r="F38" s="168"/>
      <c r="G38" s="251"/>
      <c r="H38" s="276"/>
    </row>
    <row r="39" spans="1:8" ht="13.2">
      <c r="A39" s="227" t="s">
        <v>67</v>
      </c>
      <c r="B39" s="408">
        <v>3000</v>
      </c>
      <c r="C39" s="454">
        <v>3500</v>
      </c>
      <c r="D39" s="454"/>
      <c r="E39" s="89"/>
      <c r="F39" s="168"/>
      <c r="G39" s="168"/>
      <c r="H39" s="168"/>
    </row>
    <row r="40" spans="1:8" ht="13.2">
      <c r="A40" s="227" t="s">
        <v>68</v>
      </c>
      <c r="B40" s="408">
        <v>2500</v>
      </c>
      <c r="C40" s="454">
        <v>2800</v>
      </c>
      <c r="D40" s="454"/>
      <c r="E40" s="89"/>
      <c r="F40" s="168"/>
      <c r="G40" s="276"/>
      <c r="H40" s="232"/>
    </row>
    <row r="41" spans="1:8" ht="13.2">
      <c r="A41" s="227" t="s">
        <v>69</v>
      </c>
      <c r="B41" s="408">
        <v>2800</v>
      </c>
      <c r="C41" s="454">
        <v>3000</v>
      </c>
      <c r="D41" s="454"/>
      <c r="E41" s="89"/>
      <c r="F41" s="168"/>
      <c r="G41" s="276"/>
      <c r="H41" s="276"/>
    </row>
    <row r="42" spans="1:8" ht="13.2">
      <c r="A42" s="227" t="s">
        <v>70</v>
      </c>
      <c r="B42" s="408">
        <v>1500</v>
      </c>
      <c r="C42" s="454">
        <v>2000</v>
      </c>
      <c r="D42" s="454"/>
      <c r="E42" s="89"/>
      <c r="F42" s="168"/>
      <c r="G42" s="276"/>
      <c r="H42" s="276"/>
    </row>
    <row r="43" spans="1:8" ht="13.2">
      <c r="A43" s="227" t="s">
        <v>71</v>
      </c>
      <c r="B43" s="408">
        <v>0</v>
      </c>
      <c r="C43" s="408"/>
      <c r="D43" s="284"/>
      <c r="E43" s="256"/>
      <c r="F43" s="168"/>
      <c r="G43" s="276"/>
      <c r="H43" s="276"/>
    </row>
    <row r="44" spans="1:8" ht="13.2">
      <c r="A44" s="378" t="s">
        <v>72</v>
      </c>
      <c r="B44" s="96"/>
      <c r="C44" s="96"/>
      <c r="D44" s="419"/>
      <c r="E44" s="256"/>
      <c r="F44" s="168"/>
      <c r="G44" s="276"/>
      <c r="H44" s="168"/>
    </row>
    <row r="45" spans="1:8" ht="13.2">
      <c r="A45" s="227" t="s">
        <v>73</v>
      </c>
      <c r="B45" s="408">
        <v>100</v>
      </c>
      <c r="C45" s="454">
        <v>100</v>
      </c>
      <c r="D45" s="454"/>
      <c r="E45" s="89"/>
      <c r="F45" s="168"/>
      <c r="G45" s="124"/>
      <c r="H45" s="124"/>
    </row>
    <row r="46" spans="1:8" ht="13.2">
      <c r="A46" s="227" t="s">
        <v>71</v>
      </c>
      <c r="B46" s="408">
        <v>100</v>
      </c>
      <c r="C46" s="454">
        <v>100</v>
      </c>
      <c r="D46" s="454"/>
      <c r="E46" s="89"/>
      <c r="F46" s="168"/>
      <c r="G46" s="251"/>
      <c r="H46" s="13"/>
    </row>
    <row r="47" spans="1:8" ht="13.2">
      <c r="A47" s="227" t="s">
        <v>74</v>
      </c>
      <c r="B47" s="408">
        <v>60</v>
      </c>
      <c r="C47" s="454">
        <v>60</v>
      </c>
      <c r="D47" s="454"/>
      <c r="E47" s="89"/>
      <c r="F47" s="168"/>
      <c r="G47" s="251"/>
      <c r="H47" s="13"/>
    </row>
    <row r="48" spans="1:8" ht="13.2">
      <c r="A48" s="227" t="s">
        <v>75</v>
      </c>
      <c r="B48" s="408">
        <v>0</v>
      </c>
      <c r="C48" s="454">
        <v>700</v>
      </c>
      <c r="D48" s="454"/>
      <c r="E48" s="89"/>
      <c r="F48" s="168"/>
      <c r="G48" s="251"/>
      <c r="H48" s="13"/>
    </row>
    <row r="49" spans="1:8" ht="13.2">
      <c r="A49" s="378" t="s">
        <v>76</v>
      </c>
      <c r="B49" s="369">
        <v>0.5</v>
      </c>
      <c r="C49" s="452">
        <v>0.5</v>
      </c>
      <c r="D49" s="452"/>
      <c r="E49" s="89"/>
      <c r="F49" s="168"/>
      <c r="G49" s="251"/>
      <c r="H49" s="13"/>
    </row>
    <row r="50" spans="1:8" ht="13.2">
      <c r="A50" s="378"/>
      <c r="B50" s="244"/>
      <c r="C50" s="244"/>
      <c r="D50" s="357"/>
      <c r="E50" s="256"/>
      <c r="F50" s="168"/>
      <c r="G50" s="251"/>
      <c r="H50" s="13"/>
    </row>
    <row r="51" spans="1:8" ht="13.2">
      <c r="A51" s="378" t="s">
        <v>77</v>
      </c>
      <c r="B51" s="369">
        <v>0.2</v>
      </c>
      <c r="C51" s="452">
        <v>0.2</v>
      </c>
      <c r="D51" s="452"/>
      <c r="E51" s="89"/>
      <c r="F51" s="168"/>
      <c r="G51" s="251"/>
      <c r="H51" s="13"/>
    </row>
    <row r="52" spans="1:8" ht="13.2">
      <c r="A52" s="378" t="s">
        <v>78</v>
      </c>
      <c r="B52" s="369">
        <v>0.08</v>
      </c>
      <c r="C52" s="452">
        <v>0.08</v>
      </c>
      <c r="D52" s="452"/>
      <c r="E52" s="89"/>
      <c r="F52" s="168"/>
      <c r="G52" s="251"/>
      <c r="H52" s="13"/>
    </row>
    <row r="53" spans="1:8" ht="13.2">
      <c r="A53" s="378" t="s">
        <v>79</v>
      </c>
      <c r="B53" s="176">
        <v>0.33329999999999999</v>
      </c>
      <c r="C53" s="453">
        <v>0.33329999999999999</v>
      </c>
      <c r="D53" s="453"/>
      <c r="E53" s="89"/>
      <c r="F53" s="168"/>
      <c r="G53" s="251"/>
      <c r="H53" s="13"/>
    </row>
    <row r="54" spans="1:8" ht="13.2">
      <c r="A54" s="190"/>
      <c r="B54" s="244"/>
      <c r="C54" s="244"/>
      <c r="D54" s="357"/>
      <c r="E54" s="256"/>
      <c r="F54" s="168"/>
      <c r="G54" s="168"/>
      <c r="H54" s="168"/>
    </row>
    <row r="55" spans="1:8" ht="13.5" customHeight="1">
      <c r="A55" s="184" t="s">
        <v>80</v>
      </c>
      <c r="B55" s="192">
        <v>50000</v>
      </c>
      <c r="C55" s="192"/>
      <c r="D55" s="42"/>
      <c r="E55" s="256"/>
      <c r="F55" s="168"/>
      <c r="G55" s="168"/>
      <c r="H55" s="168"/>
    </row>
  </sheetData>
  <mergeCells count="24">
    <mergeCell ref="C1:D1"/>
    <mergeCell ref="B23:D23"/>
    <mergeCell ref="C28:D28"/>
    <mergeCell ref="C29:D29"/>
    <mergeCell ref="C30:D30"/>
    <mergeCell ref="C31:D31"/>
    <mergeCell ref="C32:D32"/>
    <mergeCell ref="C34:D34"/>
    <mergeCell ref="C35:D35"/>
    <mergeCell ref="C36:D36"/>
    <mergeCell ref="C37:D37"/>
    <mergeCell ref="C38:D38"/>
    <mergeCell ref="C39:D39"/>
    <mergeCell ref="C40:D40"/>
    <mergeCell ref="C41:D41"/>
    <mergeCell ref="C49:D49"/>
    <mergeCell ref="C51:D51"/>
    <mergeCell ref="C52:D52"/>
    <mergeCell ref="C53:D53"/>
    <mergeCell ref="C42:D42"/>
    <mergeCell ref="C45:D45"/>
    <mergeCell ref="C46:D46"/>
    <mergeCell ref="C47:D47"/>
    <mergeCell ref="C48:D4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C10" sqref="C10"/>
    </sheetView>
  </sheetViews>
  <sheetFormatPr baseColWidth="10" defaultColWidth="10.6640625" defaultRowHeight="12.75" customHeight="1"/>
  <cols>
    <col min="1" max="1" width="5.33203125" customWidth="1"/>
    <col min="2" max="2" width="57.6640625" customWidth="1"/>
    <col min="3" max="4" width="11.6640625" customWidth="1"/>
  </cols>
  <sheetData>
    <row r="1" spans="1:6" ht="12.75" customHeight="1">
      <c r="A1" s="168"/>
      <c r="B1" s="168"/>
      <c r="C1" s="168"/>
      <c r="D1" s="168"/>
      <c r="E1" s="168"/>
      <c r="F1" s="168"/>
    </row>
    <row r="2" spans="1:6" ht="12.75" customHeight="1">
      <c r="A2" s="168" t="s">
        <v>347</v>
      </c>
      <c r="B2" s="168"/>
      <c r="C2" s="31" t="s">
        <v>348</v>
      </c>
      <c r="D2" s="31" t="s">
        <v>349</v>
      </c>
      <c r="E2" s="168"/>
      <c r="F2" s="168"/>
    </row>
    <row r="3" spans="1:6" ht="12.75" customHeight="1">
      <c r="A3" s="168"/>
      <c r="B3" s="5" t="s">
        <v>350</v>
      </c>
      <c r="C3" s="31" t="s">
        <v>56</v>
      </c>
      <c r="D3" s="31" t="s">
        <v>56</v>
      </c>
      <c r="E3" s="168"/>
      <c r="F3" s="168"/>
    </row>
    <row r="4" spans="1:6" ht="12.75" customHeight="1">
      <c r="A4" s="168"/>
      <c r="B4" s="5" t="s">
        <v>351</v>
      </c>
      <c r="C4" s="168"/>
      <c r="D4" s="168"/>
      <c r="E4" s="168"/>
      <c r="F4" s="168"/>
    </row>
    <row r="5" spans="1:6" ht="12.75" customHeight="1">
      <c r="A5" s="168"/>
      <c r="B5" s="195" t="s">
        <v>352</v>
      </c>
      <c r="C5" s="168"/>
      <c r="D5" s="168"/>
      <c r="E5" s="168"/>
      <c r="F5" s="168"/>
    </row>
    <row r="6" spans="1:6" ht="12.75" customHeight="1">
      <c r="A6" s="168"/>
      <c r="B6" s="65" t="s">
        <v>353</v>
      </c>
      <c r="C6" s="168"/>
      <c r="D6" s="168"/>
      <c r="E6" s="168"/>
      <c r="F6" s="168"/>
    </row>
    <row r="7" spans="1:6" ht="12.75" customHeight="1">
      <c r="A7" s="168"/>
      <c r="B7" s="168" t="s">
        <v>354</v>
      </c>
      <c r="C7" s="38">
        <f>((((((((((('Prod,Fact,Encaisse'!D80+'Prod,Fact,Encaisse'!E80)+'Prod,Fact,Encaisse'!F80)+'Prod,Fact,Encaisse'!G80)+'Prod,Fact,Encaisse'!H80)+'Prod,Fact,Encaisse'!I80)+'Prod,Fact,Encaisse'!J80)+'Prod,Fact,Encaisse'!K80)+'Prod,Fact,Encaisse'!L80)+'Prod,Fact,Encaisse'!M80)+'Prod,Fact,Encaisse'!N80)+'Prod,Fact,Encaisse'!O80)/1.196</f>
        <v>720000</v>
      </c>
      <c r="D7" s="213">
        <f>((((((((((('Prod,Fact,Encaisse'!Q80+'Prod,Fact,Encaisse'!P80)+'Prod,Fact,Encaisse'!R80)+'Prod,Fact,Encaisse'!S80)+'Prod,Fact,Encaisse'!T80)+'Prod,Fact,Encaisse'!U80)+'Prod,Fact,Encaisse'!V80)+'Prod,Fact,Encaisse'!W80)+'Prod,Fact,Encaisse'!X80)+'Prod,Fact,Encaisse'!Y80)+'Prod,Fact,Encaisse'!Z80)+'Prod,Fact,Encaisse'!AA80)/1.196</f>
        <v>1460000</v>
      </c>
      <c r="E7" s="168"/>
      <c r="F7" s="168"/>
    </row>
    <row r="8" spans="1:6" ht="12.75" customHeight="1">
      <c r="A8" s="168"/>
      <c r="B8" s="195" t="s">
        <v>355</v>
      </c>
      <c r="C8" s="31">
        <v>0</v>
      </c>
      <c r="D8" s="168">
        <v>0</v>
      </c>
      <c r="E8" s="168"/>
      <c r="F8" s="168"/>
    </row>
    <row r="9" spans="1:6" ht="12.75" customHeight="1">
      <c r="A9" s="168"/>
      <c r="B9" s="65" t="s">
        <v>356</v>
      </c>
      <c r="C9" s="38">
        <f>TEC!E19</f>
        <v>18251.53269493844</v>
      </c>
      <c r="D9" s="213">
        <f>TEC!I17-'Produits '!C9</f>
        <v>36234.817409159012</v>
      </c>
      <c r="E9" s="168"/>
      <c r="F9" s="168"/>
    </row>
    <row r="10" spans="1:6" ht="12.75" customHeight="1">
      <c r="A10" s="168"/>
      <c r="B10" s="65" t="s">
        <v>357</v>
      </c>
      <c r="C10" s="38">
        <v>0</v>
      </c>
      <c r="D10" s="168">
        <v>0</v>
      </c>
      <c r="E10" s="168"/>
      <c r="F10" s="168"/>
    </row>
    <row r="11" spans="1:6" ht="12.75" customHeight="1">
      <c r="A11" s="168"/>
      <c r="B11" s="65" t="s">
        <v>358</v>
      </c>
      <c r="C11" s="31">
        <v>0</v>
      </c>
      <c r="D11" s="168">
        <v>0</v>
      </c>
      <c r="E11" s="168"/>
      <c r="F11" s="168"/>
    </row>
    <row r="12" spans="1:6" ht="12.75" customHeight="1">
      <c r="A12" s="168"/>
      <c r="B12" s="195" t="s">
        <v>359</v>
      </c>
      <c r="C12" s="168"/>
      <c r="D12" s="168"/>
      <c r="E12" s="168"/>
      <c r="F12" s="168"/>
    </row>
    <row r="13" spans="1:6" ht="12.75" customHeight="1">
      <c r="A13" s="168"/>
      <c r="B13" s="195" t="s">
        <v>360</v>
      </c>
      <c r="C13" s="168"/>
      <c r="D13" s="168"/>
      <c r="E13" s="168"/>
      <c r="F13" s="168"/>
    </row>
    <row r="14" spans="1:6" ht="12.75" customHeight="1">
      <c r="A14" s="168"/>
      <c r="B14" s="195" t="s">
        <v>361</v>
      </c>
      <c r="C14" s="168"/>
      <c r="D14" s="168"/>
      <c r="E14" s="168"/>
      <c r="F14" s="168"/>
    </row>
    <row r="15" spans="1:6" ht="12.75" customHeight="1">
      <c r="A15" s="168"/>
      <c r="B15" s="65" t="s">
        <v>362</v>
      </c>
      <c r="C15" s="38">
        <f>(((C7+C8)+C9)+C10)+C11</f>
        <v>738251.53269493848</v>
      </c>
      <c r="D15" s="213">
        <f>(((D7+D8)+D9)+D10)+D11</f>
        <v>1496234.8174091589</v>
      </c>
      <c r="E15" s="168"/>
      <c r="F15" s="168"/>
    </row>
    <row r="16" spans="1:6" ht="12.75" customHeight="1">
      <c r="A16" s="168"/>
      <c r="B16" s="195" t="s">
        <v>363</v>
      </c>
      <c r="C16" s="329">
        <v>0</v>
      </c>
      <c r="D16" s="168">
        <v>0</v>
      </c>
      <c r="E16" s="168"/>
      <c r="F16" s="168"/>
    </row>
    <row r="17" spans="1:6" ht="12.75" customHeight="1">
      <c r="A17" s="168"/>
      <c r="B17" s="168"/>
      <c r="C17" s="329"/>
      <c r="D17" s="168"/>
      <c r="E17" s="168"/>
      <c r="F17" s="168"/>
    </row>
    <row r="18" spans="1:6" ht="12.75" customHeight="1">
      <c r="A18" s="168">
        <v>76</v>
      </c>
      <c r="B18" s="311" t="s">
        <v>364</v>
      </c>
      <c r="C18" s="329"/>
      <c r="D18" s="168"/>
      <c r="E18" s="168"/>
      <c r="F18" s="168"/>
    </row>
    <row r="19" spans="1:6" ht="12.75" customHeight="1">
      <c r="A19" s="168"/>
      <c r="B19" s="195" t="s">
        <v>365</v>
      </c>
      <c r="C19" s="329"/>
      <c r="D19" s="168"/>
      <c r="E19" s="168"/>
      <c r="F19" s="168"/>
    </row>
    <row r="20" spans="1:6" ht="12.75" customHeight="1">
      <c r="A20" s="168"/>
      <c r="B20" s="195" t="s">
        <v>366</v>
      </c>
      <c r="C20" s="329"/>
      <c r="D20" s="168"/>
      <c r="E20" s="168"/>
      <c r="F20" s="168"/>
    </row>
    <row r="21" spans="1:6" ht="12.75" customHeight="1">
      <c r="A21" s="168"/>
      <c r="B21" s="195" t="s">
        <v>367</v>
      </c>
      <c r="C21" s="329"/>
      <c r="D21" s="168"/>
      <c r="E21" s="168"/>
      <c r="F21" s="168"/>
    </row>
    <row r="22" spans="1:6" ht="12.75" customHeight="1">
      <c r="A22" s="168"/>
      <c r="B22" s="195" t="s">
        <v>368</v>
      </c>
      <c r="C22" s="329"/>
      <c r="D22" s="168"/>
      <c r="E22" s="168"/>
      <c r="F22" s="168"/>
    </row>
    <row r="23" spans="1:6" ht="12.75" customHeight="1">
      <c r="A23" s="168"/>
      <c r="B23" s="195" t="s">
        <v>369</v>
      </c>
      <c r="C23" s="329"/>
      <c r="D23" s="168"/>
      <c r="E23" s="168"/>
      <c r="F23" s="168"/>
    </row>
    <row r="24" spans="1:6" ht="12.75" customHeight="1">
      <c r="A24" s="168"/>
      <c r="B24" s="195" t="s">
        <v>370</v>
      </c>
      <c r="C24" s="329"/>
      <c r="D24" s="168"/>
      <c r="E24" s="168"/>
      <c r="F24" s="168"/>
    </row>
    <row r="25" spans="1:6" ht="12.75" customHeight="1">
      <c r="A25" s="168"/>
      <c r="B25" s="346" t="s">
        <v>371</v>
      </c>
      <c r="C25" s="329">
        <f>((((C19+C20)+C21)+C22)+C23)+C24</f>
        <v>0</v>
      </c>
      <c r="D25" s="168">
        <v>0</v>
      </c>
      <c r="E25" s="168"/>
      <c r="F25" s="168"/>
    </row>
    <row r="26" spans="1:6" ht="12.75" customHeight="1">
      <c r="A26" s="168"/>
      <c r="B26" s="168"/>
      <c r="C26" s="329"/>
      <c r="D26" s="168"/>
      <c r="E26" s="168"/>
      <c r="F26" s="168"/>
    </row>
    <row r="27" spans="1:6" ht="12.75" customHeight="1">
      <c r="A27" s="168">
        <v>77</v>
      </c>
      <c r="B27" s="311" t="s">
        <v>372</v>
      </c>
      <c r="C27" s="329"/>
      <c r="D27" s="168"/>
      <c r="E27" s="168"/>
      <c r="F27" s="168"/>
    </row>
    <row r="28" spans="1:6" ht="12.75" customHeight="1">
      <c r="A28" s="168"/>
      <c r="B28" s="195" t="s">
        <v>373</v>
      </c>
      <c r="C28" s="329"/>
      <c r="D28" s="168"/>
      <c r="E28" s="168"/>
      <c r="F28" s="168"/>
    </row>
    <row r="29" spans="1:6" ht="12.75" customHeight="1">
      <c r="A29" s="168"/>
      <c r="B29" s="195" t="s">
        <v>374</v>
      </c>
      <c r="C29" s="329"/>
      <c r="D29" s="168"/>
      <c r="E29" s="168"/>
      <c r="F29" s="168"/>
    </row>
    <row r="30" spans="1:6" ht="12.75" customHeight="1">
      <c r="A30" s="168">
        <v>78</v>
      </c>
      <c r="B30" s="195" t="s">
        <v>375</v>
      </c>
      <c r="C30" s="329"/>
      <c r="D30" s="168"/>
      <c r="E30" s="168"/>
      <c r="F30" s="168"/>
    </row>
    <row r="31" spans="1:6" ht="12.75" customHeight="1">
      <c r="A31" s="168">
        <v>79</v>
      </c>
      <c r="B31" s="195" t="s">
        <v>376</v>
      </c>
      <c r="C31" s="329"/>
      <c r="D31" s="168"/>
      <c r="E31" s="168"/>
      <c r="F31" s="168"/>
    </row>
    <row r="32" spans="1:6" ht="12.75" customHeight="1">
      <c r="A32" s="168"/>
      <c r="B32" s="311" t="s">
        <v>377</v>
      </c>
      <c r="C32" s="329">
        <f>((C28+C29)+C30)+C31</f>
        <v>0</v>
      </c>
      <c r="D32" s="168">
        <v>0</v>
      </c>
      <c r="E32" s="168"/>
      <c r="F32" s="168"/>
    </row>
    <row r="33" spans="1:6" ht="12.75" customHeight="1">
      <c r="A33" s="168"/>
      <c r="B33" s="168"/>
      <c r="C33" s="207"/>
      <c r="D33" s="168"/>
      <c r="E33" s="168"/>
      <c r="F33" s="168"/>
    </row>
    <row r="34" spans="1:6" ht="12.75" customHeight="1">
      <c r="A34" s="168"/>
      <c r="B34" s="5" t="s">
        <v>378</v>
      </c>
      <c r="C34" s="38">
        <f>((C15+C25)+C16)+C32</f>
        <v>738251.53269493848</v>
      </c>
      <c r="D34" s="213">
        <f>((D15+D16)+D25)+D32</f>
        <v>1496234.8174091589</v>
      </c>
      <c r="E34" s="168"/>
      <c r="F34" s="168"/>
    </row>
    <row r="35" spans="1:6" ht="12.75" customHeight="1">
      <c r="A35" s="168"/>
      <c r="B35" s="168" t="s">
        <v>379</v>
      </c>
      <c r="C35" s="401"/>
      <c r="D35" s="216"/>
      <c r="E35" s="168"/>
      <c r="F35" s="168"/>
    </row>
    <row r="36" spans="1:6" ht="12.75" customHeight="1">
      <c r="A36" s="168"/>
      <c r="B36" s="5" t="s">
        <v>380</v>
      </c>
      <c r="C36" s="38">
        <f>C34</f>
        <v>738251.53269493848</v>
      </c>
      <c r="D36" s="213">
        <f>D34</f>
        <v>1496234.8174091589</v>
      </c>
      <c r="E36" s="168"/>
      <c r="F36" s="16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73"/>
  <sheetViews>
    <sheetView topLeftCell="A29" workbookViewId="0">
      <selection activeCell="B66" sqref="B66"/>
    </sheetView>
  </sheetViews>
  <sheetFormatPr baseColWidth="10" defaultColWidth="10.6640625" defaultRowHeight="12.75" customHeight="1"/>
  <cols>
    <col min="1" max="1" width="5.33203125" customWidth="1"/>
    <col min="2" max="2" width="69.33203125" customWidth="1"/>
    <col min="3" max="3" width="10.44140625" customWidth="1"/>
    <col min="4" max="4" width="12.44140625" customWidth="1"/>
    <col min="5" max="5" width="21" customWidth="1"/>
    <col min="6" max="6" width="48.33203125" customWidth="1"/>
    <col min="7" max="7" width="12.88671875" customWidth="1"/>
    <col min="8" max="8" width="12.109375" customWidth="1"/>
  </cols>
  <sheetData>
    <row r="1" spans="1:9" ht="13.2">
      <c r="A1" s="168"/>
      <c r="B1" s="168"/>
      <c r="C1" s="31" t="s">
        <v>348</v>
      </c>
      <c r="D1" s="318" t="s">
        <v>349</v>
      </c>
      <c r="E1" s="436"/>
      <c r="F1" s="117"/>
      <c r="G1" s="117"/>
      <c r="H1" s="438"/>
      <c r="I1" s="380"/>
    </row>
    <row r="2" spans="1:9" ht="13.2">
      <c r="A2" s="168" t="s">
        <v>347</v>
      </c>
      <c r="B2" s="168"/>
      <c r="C2" s="31" t="s">
        <v>56</v>
      </c>
      <c r="D2" s="318" t="s">
        <v>56</v>
      </c>
      <c r="E2" s="190" t="s">
        <v>381</v>
      </c>
      <c r="F2" s="244" t="s">
        <v>33</v>
      </c>
      <c r="G2" s="244" t="s">
        <v>382</v>
      </c>
      <c r="H2" s="357" t="s">
        <v>383</v>
      </c>
      <c r="I2" s="380"/>
    </row>
    <row r="3" spans="1:9" ht="13.2">
      <c r="A3" s="168"/>
      <c r="B3" s="5" t="s">
        <v>384</v>
      </c>
      <c r="C3" s="168"/>
      <c r="D3" s="423"/>
      <c r="E3" s="224"/>
      <c r="F3" s="2"/>
      <c r="G3" s="94"/>
      <c r="H3" s="268"/>
      <c r="I3" s="380"/>
    </row>
    <row r="4" spans="1:9" ht="13.2">
      <c r="A4" s="168"/>
      <c r="B4" s="5" t="s">
        <v>385</v>
      </c>
      <c r="C4" s="168"/>
      <c r="D4" s="423"/>
      <c r="E4" s="224"/>
      <c r="F4" s="2"/>
      <c r="G4" s="94"/>
      <c r="H4" s="268"/>
      <c r="I4" s="380"/>
    </row>
    <row r="5" spans="1:9" ht="13.2">
      <c r="A5" s="168"/>
      <c r="B5" s="195" t="s">
        <v>386</v>
      </c>
      <c r="C5" s="168"/>
      <c r="D5" s="423"/>
      <c r="E5" s="224"/>
      <c r="F5" s="2"/>
      <c r="G5" s="94"/>
      <c r="H5" s="268"/>
      <c r="I5" s="380"/>
    </row>
    <row r="6" spans="1:9" ht="13.5" customHeight="1">
      <c r="A6" s="168"/>
      <c r="B6" s="195" t="s">
        <v>387</v>
      </c>
      <c r="C6" s="168"/>
      <c r="D6" s="404"/>
      <c r="E6" s="225"/>
      <c r="F6" s="294"/>
      <c r="G6" s="241"/>
      <c r="H6" s="285"/>
      <c r="I6" s="380"/>
    </row>
    <row r="7" spans="1:9" ht="13.2">
      <c r="A7" s="168"/>
      <c r="B7" s="195" t="s">
        <v>388</v>
      </c>
      <c r="C7" s="168"/>
      <c r="D7" s="168"/>
      <c r="E7" s="402"/>
      <c r="F7" s="402"/>
      <c r="G7" s="402"/>
      <c r="H7" s="402"/>
    </row>
    <row r="8" spans="1:9" ht="13.2">
      <c r="A8" s="168"/>
      <c r="B8" s="195" t="s">
        <v>387</v>
      </c>
      <c r="C8" s="168"/>
      <c r="D8" s="168"/>
      <c r="E8" s="168"/>
      <c r="F8" s="168"/>
      <c r="G8" s="168"/>
      <c r="H8" s="168"/>
    </row>
    <row r="9" spans="1:9" ht="13.2">
      <c r="A9" s="168"/>
      <c r="B9" s="168" t="s">
        <v>389</v>
      </c>
      <c r="C9" s="207">
        <f>C10+C13</f>
        <v>180860</v>
      </c>
      <c r="D9" s="207">
        <f>D10+D13</f>
        <v>473060</v>
      </c>
      <c r="E9" s="168"/>
      <c r="F9" s="168"/>
      <c r="G9" s="168"/>
      <c r="H9" s="168"/>
    </row>
    <row r="10" spans="1:9" ht="13.2">
      <c r="A10" s="168"/>
      <c r="B10" s="168" t="s">
        <v>272</v>
      </c>
      <c r="C10" s="207">
        <f>SUM(C11:C12)</f>
        <v>131520</v>
      </c>
      <c r="D10" s="207">
        <f>SUM(D11:D12)</f>
        <v>379200</v>
      </c>
      <c r="E10" s="168"/>
      <c r="F10" s="168"/>
      <c r="G10" s="168"/>
      <c r="H10" s="168"/>
    </row>
    <row r="11" spans="1:9" ht="13.2">
      <c r="A11" s="168"/>
      <c r="B11" s="188" t="s">
        <v>390</v>
      </c>
      <c r="C11" s="207">
        <f>('Prod,Fact,Encaisse'!B21*'Budget, PV contrat'!D17)</f>
        <v>131520</v>
      </c>
      <c r="D11" s="207">
        <f>('Prod,Fact,Encaisse'!B22*'Budget, PV contrat'!G17)</f>
        <v>263040</v>
      </c>
      <c r="E11" s="168"/>
      <c r="F11" s="168"/>
      <c r="G11" s="168"/>
      <c r="H11" s="168"/>
    </row>
    <row r="12" spans="1:9" ht="13.2">
      <c r="A12" s="168"/>
      <c r="B12" s="188" t="s">
        <v>391</v>
      </c>
      <c r="C12" s="207">
        <f>SUM('Trésorerie '!C10:N10)</f>
        <v>0</v>
      </c>
      <c r="D12" s="207">
        <f>('Prod,Fact,Encaisse'!B23*'Budget, PV contrat'!J17)</f>
        <v>116160</v>
      </c>
      <c r="E12" s="168"/>
      <c r="F12" s="168"/>
      <c r="G12" s="168"/>
      <c r="H12" s="168"/>
    </row>
    <row r="13" spans="1:9" ht="13.2">
      <c r="A13" s="168"/>
      <c r="B13" s="202" t="s">
        <v>392</v>
      </c>
      <c r="C13" s="207">
        <f>C34*'Tableau simu'!B51</f>
        <v>49340</v>
      </c>
      <c r="D13" s="207">
        <f>D34*'Tableau simu'!C51</f>
        <v>93860</v>
      </c>
      <c r="E13" s="168"/>
      <c r="F13" s="168"/>
      <c r="G13" s="168"/>
      <c r="H13" s="168"/>
    </row>
    <row r="14" spans="1:9" ht="13.2">
      <c r="A14" s="168"/>
      <c r="B14" s="188" t="s">
        <v>393</v>
      </c>
      <c r="C14" s="207"/>
      <c r="D14" s="207"/>
      <c r="E14" s="168"/>
      <c r="F14" s="168"/>
      <c r="G14" s="168"/>
      <c r="H14" s="168"/>
    </row>
    <row r="15" spans="1:9" ht="13.2">
      <c r="A15" s="168"/>
      <c r="B15" s="188" t="s">
        <v>394</v>
      </c>
      <c r="C15" s="207"/>
      <c r="D15" s="207"/>
      <c r="E15" s="168"/>
      <c r="F15" s="168"/>
      <c r="G15" s="168"/>
      <c r="H15" s="168"/>
    </row>
    <row r="16" spans="1:9" ht="13.2">
      <c r="A16" s="168"/>
      <c r="B16" s="188" t="s">
        <v>395</v>
      </c>
      <c r="C16" s="207"/>
      <c r="D16" s="207"/>
      <c r="E16" s="168"/>
      <c r="F16" s="168"/>
      <c r="G16" s="168"/>
      <c r="H16" s="168"/>
    </row>
    <row r="17" spans="1:8" ht="13.2">
      <c r="A17" s="168"/>
      <c r="B17" s="188" t="s">
        <v>396</v>
      </c>
      <c r="C17" s="207"/>
      <c r="D17" s="207"/>
      <c r="E17" s="168"/>
      <c r="F17" s="168"/>
      <c r="G17" s="168"/>
      <c r="H17" s="168"/>
    </row>
    <row r="18" spans="1:8" ht="13.2">
      <c r="A18" s="168"/>
      <c r="B18" s="188" t="s">
        <v>397</v>
      </c>
      <c r="C18" s="207"/>
      <c r="D18" s="207"/>
      <c r="E18" s="168"/>
      <c r="F18" s="168"/>
      <c r="G18" s="168"/>
      <c r="H18" s="168"/>
    </row>
    <row r="19" spans="1:8" ht="13.2">
      <c r="A19" s="168"/>
      <c r="B19" s="188" t="s">
        <v>398</v>
      </c>
      <c r="C19" s="207"/>
      <c r="D19" s="207"/>
      <c r="E19" s="168"/>
      <c r="F19" s="168"/>
      <c r="G19" s="168"/>
      <c r="H19" s="168"/>
    </row>
    <row r="20" spans="1:8" ht="13.2">
      <c r="A20" s="168"/>
      <c r="B20" s="188" t="s">
        <v>399</v>
      </c>
      <c r="C20" s="207"/>
      <c r="D20" s="207"/>
      <c r="E20" s="168"/>
      <c r="F20" s="168"/>
      <c r="G20" s="168"/>
      <c r="H20" s="168"/>
    </row>
    <row r="21" spans="1:8" ht="13.2">
      <c r="A21" s="168"/>
      <c r="B21" s="188" t="s">
        <v>400</v>
      </c>
      <c r="C21" s="207"/>
      <c r="D21" s="207"/>
      <c r="E21" s="168"/>
      <c r="F21" s="168"/>
      <c r="G21" s="168"/>
      <c r="H21" s="168"/>
    </row>
    <row r="22" spans="1:8" ht="13.2">
      <c r="A22" s="168"/>
      <c r="B22" s="188" t="s">
        <v>401</v>
      </c>
      <c r="C22" s="207"/>
      <c r="D22" s="207"/>
      <c r="E22" s="168"/>
      <c r="F22" s="168"/>
      <c r="G22" s="168"/>
      <c r="H22" s="168"/>
    </row>
    <row r="23" spans="1:8" ht="13.2">
      <c r="A23" s="168"/>
      <c r="B23" s="188" t="s">
        <v>402</v>
      </c>
      <c r="C23" s="207"/>
      <c r="D23" s="207"/>
      <c r="E23" s="168"/>
      <c r="F23" s="168"/>
      <c r="G23" s="168"/>
      <c r="H23" s="168"/>
    </row>
    <row r="24" spans="1:8" ht="13.2">
      <c r="A24" s="168"/>
      <c r="B24" s="188" t="s">
        <v>403</v>
      </c>
      <c r="C24" s="207"/>
      <c r="D24" s="207"/>
      <c r="E24" s="168"/>
      <c r="F24" s="168"/>
      <c r="G24" s="168"/>
      <c r="H24" s="168"/>
    </row>
    <row r="25" spans="1:8" ht="13.2">
      <c r="A25" s="168"/>
      <c r="B25" s="188" t="s">
        <v>404</v>
      </c>
      <c r="C25" s="207"/>
      <c r="D25" s="207"/>
      <c r="E25" s="168"/>
      <c r="F25" s="168"/>
      <c r="G25" s="168"/>
      <c r="H25" s="168"/>
    </row>
    <row r="26" spans="1:8" ht="13.2">
      <c r="A26" s="168"/>
      <c r="B26" s="188" t="s">
        <v>405</v>
      </c>
      <c r="C26" s="207"/>
      <c r="D26" s="207"/>
      <c r="E26" s="168"/>
      <c r="F26" s="168"/>
      <c r="G26" s="168"/>
      <c r="H26" s="168"/>
    </row>
    <row r="27" spans="1:8" s="168" customFormat="1" ht="13.2">
      <c r="B27" s="168" t="s">
        <v>406</v>
      </c>
      <c r="C27" s="207">
        <f>C34*'Tableau simu'!B52</f>
        <v>19736</v>
      </c>
      <c r="D27" s="207">
        <f>D34*'Tableau simu'!C52</f>
        <v>37544</v>
      </c>
    </row>
    <row r="28" spans="1:8" ht="13.2">
      <c r="A28" s="168"/>
      <c r="B28" s="188" t="s">
        <v>407</v>
      </c>
      <c r="C28" s="207"/>
      <c r="D28" s="207"/>
      <c r="E28" s="168"/>
      <c r="F28" s="168"/>
      <c r="G28" s="168"/>
      <c r="H28" s="168"/>
    </row>
    <row r="29" spans="1:8" ht="13.2">
      <c r="A29" s="168"/>
      <c r="B29" s="188" t="s">
        <v>408</v>
      </c>
      <c r="C29" s="207"/>
      <c r="D29" s="207"/>
      <c r="E29" s="168"/>
      <c r="F29" s="168"/>
      <c r="G29" s="168"/>
      <c r="H29" s="168"/>
    </row>
    <row r="30" spans="1:8" ht="13.2">
      <c r="A30" s="168"/>
      <c r="B30" s="188" t="s">
        <v>409</v>
      </c>
      <c r="C30" s="207"/>
      <c r="D30" s="207"/>
      <c r="E30" s="168"/>
      <c r="F30" s="168"/>
      <c r="G30" s="168"/>
      <c r="H30" s="168"/>
    </row>
    <row r="31" spans="1:8" ht="13.2">
      <c r="A31" s="168"/>
      <c r="B31" s="188" t="s">
        <v>410</v>
      </c>
      <c r="C31" s="207"/>
      <c r="D31" s="207"/>
      <c r="E31" s="168"/>
      <c r="F31" s="168"/>
      <c r="G31" s="168"/>
      <c r="H31" s="168"/>
    </row>
    <row r="32" spans="1:8" ht="13.2">
      <c r="A32" s="168"/>
      <c r="B32" s="188" t="s">
        <v>411</v>
      </c>
      <c r="C32" s="207"/>
      <c r="D32" s="207"/>
      <c r="E32" s="168"/>
      <c r="F32" s="168"/>
      <c r="G32" s="168"/>
      <c r="H32" s="168"/>
    </row>
    <row r="33" spans="1:8" ht="13.2">
      <c r="A33" s="168"/>
      <c r="B33" s="267" t="s">
        <v>412</v>
      </c>
      <c r="C33" s="207"/>
      <c r="D33" s="207"/>
      <c r="E33" s="168"/>
      <c r="F33" s="168"/>
      <c r="G33" s="168"/>
      <c r="H33" s="168"/>
    </row>
    <row r="34" spans="1:8" ht="13.2">
      <c r="A34" s="168"/>
      <c r="B34" s="168" t="s">
        <v>413</v>
      </c>
      <c r="C34" s="207">
        <f>'Personnel,salaires'!P15</f>
        <v>246700</v>
      </c>
      <c r="D34" s="207">
        <f>'Personnel,salaires'!AD15</f>
        <v>469300</v>
      </c>
      <c r="E34" s="168"/>
      <c r="F34" s="168"/>
      <c r="G34" s="168"/>
      <c r="H34" s="168"/>
    </row>
    <row r="35" spans="1:8" ht="13.2">
      <c r="A35" s="168"/>
      <c r="B35" s="168" t="s">
        <v>414</v>
      </c>
      <c r="C35" s="207">
        <f>C34*'Tableau simu'!B49</f>
        <v>123350</v>
      </c>
      <c r="D35" s="207">
        <f>D34*'Tableau simu'!C49</f>
        <v>234650</v>
      </c>
      <c r="E35" s="168"/>
      <c r="F35" s="168"/>
      <c r="G35" s="168"/>
      <c r="H35" s="168"/>
    </row>
    <row r="36" spans="1:8" ht="13.2">
      <c r="A36" s="168"/>
      <c r="B36" s="188" t="s">
        <v>415</v>
      </c>
      <c r="C36" s="207"/>
      <c r="D36" s="207"/>
      <c r="E36" s="168"/>
      <c r="F36" s="168"/>
      <c r="G36" s="168"/>
      <c r="H36" s="168"/>
    </row>
    <row r="37" spans="1:8" ht="13.2">
      <c r="A37" s="168"/>
      <c r="B37" s="188" t="s">
        <v>416</v>
      </c>
      <c r="C37" s="207"/>
      <c r="D37" s="207"/>
      <c r="E37" s="168"/>
      <c r="F37" s="168"/>
      <c r="G37" s="168"/>
      <c r="H37" s="168"/>
    </row>
    <row r="38" spans="1:8" ht="13.2">
      <c r="A38" s="168"/>
      <c r="B38" s="188" t="s">
        <v>417</v>
      </c>
      <c r="C38" s="207"/>
      <c r="D38" s="207"/>
      <c r="E38" s="168"/>
      <c r="F38" s="168"/>
      <c r="G38" s="168"/>
      <c r="H38" s="168"/>
    </row>
    <row r="39" spans="1:8" ht="13.2">
      <c r="A39" s="168"/>
      <c r="B39" s="188" t="s">
        <v>418</v>
      </c>
      <c r="C39" s="207"/>
      <c r="D39" s="207"/>
      <c r="E39" s="168"/>
      <c r="F39" s="168"/>
      <c r="G39" s="168"/>
      <c r="H39" s="168"/>
    </row>
    <row r="40" spans="1:8" ht="13.2">
      <c r="A40" s="168"/>
      <c r="B40" s="188" t="s">
        <v>419</v>
      </c>
      <c r="C40" s="207"/>
      <c r="D40" s="207"/>
      <c r="E40" s="168"/>
      <c r="F40" s="168"/>
      <c r="G40" s="168"/>
      <c r="H40" s="168"/>
    </row>
    <row r="41" spans="1:8" ht="13.2">
      <c r="A41" s="168"/>
      <c r="B41" s="188" t="s">
        <v>420</v>
      </c>
      <c r="C41" s="207"/>
      <c r="D41" s="207"/>
      <c r="E41" s="168"/>
      <c r="F41" s="168"/>
      <c r="G41" s="168"/>
      <c r="H41" s="168"/>
    </row>
    <row r="42" spans="1:8" ht="13.2">
      <c r="A42" s="168"/>
      <c r="B42" s="168" t="s">
        <v>421</v>
      </c>
      <c r="C42" s="207"/>
      <c r="D42" s="207"/>
      <c r="E42" s="168"/>
      <c r="F42" s="168"/>
      <c r="G42" s="168"/>
      <c r="H42" s="168"/>
    </row>
    <row r="43" spans="1:8" ht="13.2">
      <c r="A43" s="168"/>
      <c r="B43" s="188" t="s">
        <v>422</v>
      </c>
      <c r="C43" s="207">
        <f>Immo!C28+Immo!C35</f>
        <v>21420.833333333336</v>
      </c>
      <c r="D43" s="207">
        <f>Immo!M28+Immo!M35</f>
        <v>29165.277777777777</v>
      </c>
      <c r="E43" s="168"/>
      <c r="F43" s="168"/>
      <c r="G43" s="168"/>
      <c r="H43" s="168"/>
    </row>
    <row r="44" spans="1:8" ht="13.2">
      <c r="A44" s="168"/>
      <c r="B44" s="267" t="s">
        <v>423</v>
      </c>
      <c r="C44" s="207"/>
      <c r="D44" s="207"/>
      <c r="E44" s="168"/>
      <c r="F44" s="168"/>
      <c r="G44" s="168"/>
      <c r="H44" s="168"/>
    </row>
    <row r="45" spans="1:8" ht="13.2">
      <c r="A45" s="168"/>
      <c r="B45" s="267" t="s">
        <v>424</v>
      </c>
      <c r="C45" s="207"/>
      <c r="D45" s="207"/>
      <c r="E45" s="168"/>
      <c r="F45" s="168"/>
      <c r="G45" s="168"/>
      <c r="H45" s="168"/>
    </row>
    <row r="46" spans="1:8" ht="13.2">
      <c r="A46" s="168"/>
      <c r="B46" s="267" t="s">
        <v>425</v>
      </c>
      <c r="C46" s="207"/>
      <c r="D46" s="207"/>
      <c r="E46" s="273"/>
      <c r="F46" s="168"/>
      <c r="G46" s="168"/>
      <c r="H46" s="168"/>
    </row>
    <row r="47" spans="1:8" ht="13.2">
      <c r="A47" s="168"/>
      <c r="B47" s="202" t="s">
        <v>426</v>
      </c>
      <c r="C47" s="207">
        <f>'Prod,Fact,Encaisse'!B21*2000</f>
        <v>12000</v>
      </c>
      <c r="D47" s="207">
        <f>'Prod,Fact,Encaisse'!B22*2000</f>
        <v>24000</v>
      </c>
      <c r="E47" s="168"/>
      <c r="F47" s="168"/>
      <c r="G47" s="168"/>
      <c r="H47" s="168"/>
    </row>
    <row r="48" spans="1:8" ht="13.2">
      <c r="A48" s="168"/>
      <c r="B48" s="202" t="s">
        <v>427</v>
      </c>
      <c r="C48" s="239">
        <v>0</v>
      </c>
      <c r="D48" s="207">
        <f>'Prod,Fact,Encaisse'!B23*2000</f>
        <v>6000</v>
      </c>
      <c r="E48" s="168"/>
      <c r="F48" s="168"/>
      <c r="G48" s="168"/>
      <c r="H48" s="168"/>
    </row>
    <row r="49" spans="1:8" ht="13.2">
      <c r="A49" s="168"/>
      <c r="B49" s="298" t="s">
        <v>428</v>
      </c>
      <c r="C49" s="180">
        <f>SUM(C43,C35,C34,C27,(C47+C9))</f>
        <v>604066.83333333337</v>
      </c>
      <c r="D49" s="180">
        <f>SUM(D43,D35,D34,D27,D47,D9,D48)</f>
        <v>1273719.2777777778</v>
      </c>
      <c r="F49" s="168"/>
      <c r="G49" s="168"/>
      <c r="H49" s="168"/>
    </row>
    <row r="50" spans="1:8" ht="13.2">
      <c r="A50" s="168"/>
      <c r="B50" s="152" t="s">
        <v>429</v>
      </c>
      <c r="C50" s="239">
        <v>0</v>
      </c>
      <c r="D50" s="239">
        <v>0</v>
      </c>
      <c r="E50" s="168"/>
      <c r="F50" s="168"/>
      <c r="G50" s="168"/>
      <c r="H50" s="168"/>
    </row>
    <row r="51" spans="1:8" ht="13.2">
      <c r="A51" s="168"/>
      <c r="B51" s="202"/>
      <c r="C51" s="207"/>
      <c r="D51" s="207"/>
      <c r="E51" s="168"/>
      <c r="F51" s="168"/>
      <c r="G51" s="168"/>
      <c r="H51" s="168"/>
    </row>
    <row r="52" spans="1:8" ht="13.2">
      <c r="A52" s="168"/>
      <c r="B52" s="298" t="s">
        <v>430</v>
      </c>
      <c r="C52" s="180"/>
      <c r="D52" s="207"/>
      <c r="E52" s="168"/>
      <c r="F52" s="168"/>
      <c r="G52" s="168"/>
      <c r="H52" s="168"/>
    </row>
    <row r="53" spans="1:8" ht="13.2">
      <c r="A53" s="168"/>
      <c r="B53" s="152" t="s">
        <v>431</v>
      </c>
      <c r="C53" s="207"/>
      <c r="D53" s="207"/>
      <c r="E53" s="168"/>
      <c r="F53" s="168"/>
      <c r="G53" s="168"/>
      <c r="H53" s="168"/>
    </row>
    <row r="54" spans="1:8" ht="13.2">
      <c r="A54" s="168"/>
      <c r="B54" s="202" t="s">
        <v>432</v>
      </c>
      <c r="C54" s="207">
        <f>(((((((((('Trésorerie '!C56+'Trésorerie '!D56)+'Trésorerie '!E56)+'Trésorerie '!F56)+'Trésorerie '!G56)+'Trésorerie '!H56)+'Trésorerie '!I56)+'Trésorerie '!J56)+'Trésorerie '!K56)+'Trésorerie '!L56)+'Trésorerie '!M56)+'Trésorerie '!N56</f>
        <v>3910.9321446057802</v>
      </c>
      <c r="D54" s="207">
        <f>(((((((((('Trésorerie '!P56+'Trésorerie '!O56)+'Trésorerie '!Q56)+'Trésorerie '!R56)+'Trésorerie '!S56)+'Trésorerie '!T56)+'Trésorerie '!U56)+'Trésorerie '!V56)+'Trésorerie '!W56)+'Trésorerie '!X56)+'Trésorerie '!Y56)+'Trésorerie '!Z56</f>
        <v>2452.6096389398072</v>
      </c>
      <c r="E54" s="168"/>
      <c r="F54" s="168"/>
      <c r="G54" s="168"/>
      <c r="H54" s="168"/>
    </row>
    <row r="55" spans="1:8" ht="13.2">
      <c r="A55" s="168"/>
      <c r="B55" s="202" t="s">
        <v>33</v>
      </c>
      <c r="C55" s="207">
        <f>(((((((((('Trésorerie '!C55+'Trésorerie '!D55)+'Trésorerie '!E55)+'Trésorerie '!F55)+'Trésorerie '!G55)+'Trésorerie '!H55)+'Trésorerie '!I55)+'Trésorerie '!J55)+'Trésorerie '!K55)+'Trésorerie '!L55)+'Trésorerie '!M55)+'Trésorerie '!N55</f>
        <v>3372.8554475734982</v>
      </c>
      <c r="D55" s="207">
        <f>(((((((((('Trésorerie '!P55+'Trésorerie '!O55)+'Trésorerie '!Q55)+'Trésorerie '!R55)+'Trésorerie '!S55)+'Trésorerie '!T55)+'Trésorerie '!U55)+'Trésorerie '!V55)+'Trésorerie '!W55)+'Trésorerie '!X55)+'Trésorerie '!Y55)+'Trésorerie '!Z55</f>
        <v>0</v>
      </c>
      <c r="E55" s="168"/>
      <c r="F55" s="168"/>
      <c r="G55" s="168"/>
      <c r="H55" s="168"/>
    </row>
    <row r="56" spans="1:8" ht="13.2">
      <c r="A56" s="168"/>
      <c r="B56" s="152" t="s">
        <v>433</v>
      </c>
      <c r="C56" s="207"/>
      <c r="D56" s="207"/>
      <c r="E56" s="168"/>
      <c r="F56" s="168"/>
      <c r="G56" s="168"/>
      <c r="H56" s="168"/>
    </row>
    <row r="57" spans="1:8" ht="13.2">
      <c r="A57" s="168"/>
      <c r="B57" s="152" t="s">
        <v>434</v>
      </c>
      <c r="C57" s="207"/>
      <c r="D57" s="207"/>
      <c r="E57" s="168"/>
      <c r="F57" s="168"/>
      <c r="G57" s="168"/>
      <c r="H57" s="168"/>
    </row>
    <row r="58" spans="1:8" ht="13.2">
      <c r="A58" s="168"/>
      <c r="B58" s="298" t="s">
        <v>435</v>
      </c>
      <c r="C58" s="180">
        <f>C54+C55</f>
        <v>7283.7875921792784</v>
      </c>
      <c r="D58" s="180">
        <f>D54+D55</f>
        <v>2452.6096389398072</v>
      </c>
      <c r="E58" s="168"/>
      <c r="F58" s="168"/>
      <c r="G58" s="168"/>
      <c r="H58" s="168"/>
    </row>
    <row r="59" spans="1:8" ht="13.2">
      <c r="A59" s="168"/>
      <c r="B59" s="202"/>
      <c r="C59" s="207"/>
      <c r="D59" s="207"/>
      <c r="E59" s="168"/>
      <c r="F59" s="168"/>
      <c r="G59" s="168"/>
      <c r="H59" s="168"/>
    </row>
    <row r="60" spans="1:8" ht="13.2">
      <c r="A60" s="168"/>
      <c r="B60" s="298" t="s">
        <v>436</v>
      </c>
      <c r="C60" s="207"/>
      <c r="D60" s="207"/>
      <c r="E60" s="168"/>
      <c r="F60" s="168"/>
      <c r="G60" s="168"/>
      <c r="H60" s="168"/>
    </row>
    <row r="61" spans="1:8" ht="13.2" hidden="1">
      <c r="A61" s="168"/>
      <c r="B61" s="152" t="s">
        <v>373</v>
      </c>
      <c r="C61" s="207"/>
      <c r="D61" s="207"/>
      <c r="E61" s="168"/>
      <c r="F61" s="168"/>
      <c r="G61" s="168"/>
      <c r="H61" s="168"/>
    </row>
    <row r="62" spans="1:8" ht="13.2" hidden="1">
      <c r="A62" s="168"/>
      <c r="B62" s="152" t="s">
        <v>437</v>
      </c>
      <c r="C62" s="207"/>
      <c r="D62" s="207"/>
      <c r="E62" s="168"/>
      <c r="F62" s="168"/>
      <c r="G62" s="168"/>
      <c r="H62" s="168"/>
    </row>
    <row r="63" spans="1:8" ht="13.2" hidden="1">
      <c r="A63" s="168"/>
      <c r="B63" s="152" t="s">
        <v>431</v>
      </c>
      <c r="C63" s="207"/>
      <c r="D63" s="207"/>
      <c r="E63" s="168"/>
      <c r="F63" s="168"/>
      <c r="G63" s="168"/>
      <c r="H63" s="168"/>
    </row>
    <row r="64" spans="1:8" ht="13.2">
      <c r="A64" s="168"/>
      <c r="B64" s="298" t="s">
        <v>438</v>
      </c>
      <c r="C64" s="207"/>
      <c r="D64" s="207"/>
      <c r="E64" s="168"/>
      <c r="F64" s="168"/>
      <c r="G64" s="168"/>
      <c r="H64" s="168"/>
    </row>
    <row r="65" spans="1:8" ht="13.2">
      <c r="A65" s="168"/>
      <c r="B65" s="298" t="s">
        <v>439</v>
      </c>
      <c r="C65" s="180">
        <f>((C49+C50)+C58)+C64</f>
        <v>611350.62092551263</v>
      </c>
      <c r="D65" s="180">
        <f>((D49+D50)+D58)+D64</f>
        <v>1276171.8874167176</v>
      </c>
      <c r="E65" s="168"/>
      <c r="F65" s="168"/>
      <c r="G65" s="168"/>
      <c r="H65" s="168"/>
    </row>
    <row r="66" spans="1:8" ht="13.2">
      <c r="A66" s="168"/>
      <c r="B66" s="5" t="s">
        <v>440</v>
      </c>
      <c r="C66" s="180">
        <f>'Produits '!C36-C65</f>
        <v>126900.91176942585</v>
      </c>
      <c r="D66" s="180">
        <f>'Produits '!D36-D65</f>
        <v>220062.92999244132</v>
      </c>
      <c r="E66" s="168"/>
      <c r="F66" s="168"/>
      <c r="G66" s="168"/>
      <c r="H66" s="168"/>
    </row>
    <row r="67" spans="1:8" ht="13.2">
      <c r="A67" s="168"/>
      <c r="B67" s="168"/>
      <c r="C67" s="207"/>
      <c r="D67" s="207"/>
      <c r="E67" s="168"/>
      <c r="F67" s="168"/>
      <c r="G67" s="168"/>
      <c r="H67" s="168"/>
    </row>
    <row r="68" spans="1:8" ht="13.2">
      <c r="A68" s="168"/>
      <c r="B68" s="152" t="s">
        <v>441</v>
      </c>
      <c r="C68" s="207"/>
      <c r="D68" s="207"/>
      <c r="E68" s="168"/>
      <c r="F68" s="168"/>
      <c r="G68" s="168"/>
      <c r="H68" s="168"/>
    </row>
    <row r="69" spans="1:8" ht="13.2">
      <c r="A69" s="168"/>
      <c r="B69" s="298" t="s">
        <v>442</v>
      </c>
      <c r="C69" s="180">
        <f>IF((C66&gt;0),(C66*0.3333),0)</f>
        <v>42296.073892749635</v>
      </c>
      <c r="D69" s="180">
        <f>IF((D66&gt;0),(D66*0.3333),0)</f>
        <v>73346.974566480683</v>
      </c>
      <c r="E69" s="168"/>
      <c r="F69" s="168"/>
      <c r="G69" s="168"/>
      <c r="H69" s="168"/>
    </row>
    <row r="70" spans="1:8" ht="13.2">
      <c r="A70" s="168"/>
      <c r="B70" s="168"/>
      <c r="C70" s="168"/>
      <c r="D70" s="207"/>
      <c r="E70" s="168"/>
      <c r="F70" s="168"/>
      <c r="G70" s="168"/>
      <c r="H70" s="168"/>
    </row>
    <row r="71" spans="1:8" ht="15.75" customHeight="1">
      <c r="A71" s="168"/>
      <c r="B71" s="425" t="s">
        <v>443</v>
      </c>
      <c r="C71" s="213">
        <f>C66-C69</f>
        <v>84604.837876676203</v>
      </c>
      <c r="D71" s="213">
        <f>D66-D69</f>
        <v>146715.95542596065</v>
      </c>
      <c r="E71" s="168"/>
      <c r="F71" s="168"/>
      <c r="G71" s="168"/>
      <c r="H71" s="168"/>
    </row>
    <row r="72" spans="1:8" ht="13.2">
      <c r="A72" s="168"/>
      <c r="B72" s="168"/>
      <c r="C72" s="168"/>
      <c r="D72" s="207"/>
      <c r="E72" s="168"/>
      <c r="F72" s="168"/>
      <c r="G72" s="168"/>
      <c r="H72" s="168"/>
    </row>
    <row r="73" spans="1:8" ht="13.2">
      <c r="A73" s="168"/>
      <c r="B73" s="5" t="s">
        <v>380</v>
      </c>
      <c r="C73" s="213">
        <f>C65+C66</f>
        <v>738251.53269493848</v>
      </c>
      <c r="D73" s="213">
        <f>D65+D66</f>
        <v>1496234.8174091589</v>
      </c>
      <c r="E73" s="168"/>
      <c r="F73" s="168"/>
      <c r="G73" s="168"/>
      <c r="H73" s="16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44"/>
  <sheetViews>
    <sheetView topLeftCell="A17" workbookViewId="0">
      <selection activeCell="D15" sqref="D15"/>
    </sheetView>
  </sheetViews>
  <sheetFormatPr baseColWidth="10" defaultColWidth="10.6640625" defaultRowHeight="12.75" customHeight="1"/>
  <cols>
    <col min="1" max="1" width="5.33203125" customWidth="1"/>
    <col min="2" max="2" width="98.88671875" customWidth="1"/>
    <col min="3" max="3" width="14.33203125" customWidth="1"/>
    <col min="4" max="4" width="14.44140625" style="78" customWidth="1"/>
    <col min="5" max="5" width="14.33203125" customWidth="1"/>
    <col min="6" max="6" width="14.44140625" style="78" customWidth="1"/>
  </cols>
  <sheetData>
    <row r="1" spans="1:9" ht="13.2">
      <c r="A1" s="436" t="s">
        <v>347</v>
      </c>
      <c r="B1" s="54" t="s">
        <v>444</v>
      </c>
      <c r="C1" s="483" t="s">
        <v>348</v>
      </c>
      <c r="D1" s="483"/>
      <c r="E1" s="483" t="s">
        <v>349</v>
      </c>
      <c r="F1" s="483"/>
      <c r="G1" s="89"/>
      <c r="H1" s="168"/>
      <c r="I1" s="168"/>
    </row>
    <row r="2" spans="1:9" ht="26.25" customHeight="1">
      <c r="A2" s="190"/>
      <c r="B2" s="25"/>
      <c r="C2" s="387" t="s">
        <v>445</v>
      </c>
      <c r="D2" s="387" t="s">
        <v>446</v>
      </c>
      <c r="E2" s="387" t="s">
        <v>445</v>
      </c>
      <c r="F2" s="149" t="s">
        <v>446</v>
      </c>
      <c r="G2" s="256"/>
      <c r="H2" s="168"/>
      <c r="I2" s="168"/>
    </row>
    <row r="3" spans="1:9" ht="13.2">
      <c r="A3" s="190"/>
      <c r="B3" s="174" t="s">
        <v>447</v>
      </c>
      <c r="C3" s="244"/>
      <c r="D3" s="244"/>
      <c r="E3" s="244"/>
      <c r="F3" s="357"/>
      <c r="G3" s="256"/>
      <c r="H3" s="168"/>
      <c r="I3" s="168"/>
    </row>
    <row r="4" spans="1:9" ht="13.2">
      <c r="A4" s="190"/>
      <c r="B4" s="244" t="s">
        <v>448</v>
      </c>
      <c r="C4" s="113">
        <f>'Trésorerie '!B37</f>
        <v>50000</v>
      </c>
      <c r="D4" s="113">
        <f>((((((((((('Trésorerie '!B37-'Trésorerie '!C33)-'Trésorerie '!D33)-'Trésorerie '!E33)-'Trésorerie '!G33)-'Trésorerie '!H33)-'Trésorerie '!I33)-'Trésorerie '!F33)-'Trésorerie '!J33)-'Trésorerie '!K33)-'Trésorerie '!L33)-'Trésorerie '!N33)-'Trésorerie '!O33</f>
        <v>50000</v>
      </c>
      <c r="E4" s="113">
        <f>'Trésorerie '!B37</f>
        <v>50000</v>
      </c>
      <c r="F4" s="175">
        <f>'Trésorerie '!B37-'Trésorerie '!B33</f>
        <v>50000</v>
      </c>
      <c r="G4" s="256"/>
      <c r="H4" s="168"/>
      <c r="I4" s="168"/>
    </row>
    <row r="5" spans="1:9" ht="13.2">
      <c r="A5" s="190"/>
      <c r="B5" s="244" t="s">
        <v>449</v>
      </c>
      <c r="C5" s="253">
        <v>0</v>
      </c>
      <c r="D5" s="253"/>
      <c r="E5" s="244"/>
      <c r="F5" s="357"/>
      <c r="G5" s="256"/>
      <c r="H5" s="168"/>
      <c r="I5" s="168"/>
    </row>
    <row r="6" spans="1:9" ht="13.2">
      <c r="A6" s="190"/>
      <c r="B6" s="433" t="s">
        <v>450</v>
      </c>
      <c r="C6" s="253"/>
      <c r="D6" s="253"/>
      <c r="E6" s="244"/>
      <c r="F6" s="357"/>
      <c r="G6" s="256"/>
      <c r="H6" s="168"/>
      <c r="I6" s="168"/>
    </row>
    <row r="7" spans="1:9" ht="13.2">
      <c r="A7" s="190"/>
      <c r="B7" s="244" t="s">
        <v>451</v>
      </c>
      <c r="C7" s="253"/>
      <c r="D7" s="253">
        <f>'Charges '!C71-D8</f>
        <v>80374.595982842395</v>
      </c>
      <c r="E7" s="113"/>
      <c r="F7" s="119">
        <f>IF((D8&lt;F8),('Charges '!D71-(F8-D8)),IF((D8=F8),'Charges '!D71,('Charges '!D71+(D8-F8))))+D7</f>
        <v>226320.79330263688</v>
      </c>
      <c r="G7" s="256"/>
      <c r="H7" s="168"/>
      <c r="I7" s="168"/>
    </row>
    <row r="8" spans="1:9" ht="13.2">
      <c r="A8" s="190"/>
      <c r="B8" s="128" t="s">
        <v>452</v>
      </c>
      <c r="C8" s="253"/>
      <c r="D8" s="253">
        <f>IF((('Charges '!C71*0.05)&lt;(C4*0.1)),('Charges '!C71*0.05),(C4*0.1))</f>
        <v>4230.2418938338105</v>
      </c>
      <c r="E8" s="253"/>
      <c r="F8" s="119">
        <f>IF((D8&gt;(F4*0.1)),(F4*0.1),IF(((D8+('Charges '!D71*0.05))&lt;(F4*0.1)),(D8+('Charges '!D71*0.05)),(F4*0.1)))</f>
        <v>5000</v>
      </c>
      <c r="G8" s="256"/>
      <c r="H8" s="168"/>
      <c r="I8" s="168"/>
    </row>
    <row r="9" spans="1:9" ht="13.2">
      <c r="A9" s="190"/>
      <c r="B9" s="128" t="s">
        <v>453</v>
      </c>
      <c r="C9" s="253"/>
      <c r="D9" s="253"/>
      <c r="E9" s="244"/>
      <c r="F9" s="357"/>
      <c r="G9" s="256"/>
      <c r="H9" s="168"/>
      <c r="I9" s="168"/>
    </row>
    <row r="10" spans="1:9" ht="13.2">
      <c r="A10" s="190"/>
      <c r="B10" s="128" t="s">
        <v>454</v>
      </c>
      <c r="C10" s="253"/>
      <c r="D10" s="253"/>
      <c r="E10" s="244"/>
      <c r="F10" s="357"/>
      <c r="G10" s="256"/>
      <c r="H10" s="168"/>
      <c r="I10" s="168"/>
    </row>
    <row r="11" spans="1:9" ht="13.2">
      <c r="A11" s="190"/>
      <c r="B11" s="128" t="s">
        <v>455</v>
      </c>
      <c r="C11" s="253"/>
      <c r="D11" s="253"/>
      <c r="E11" s="244"/>
      <c r="F11" s="119"/>
      <c r="G11" s="256"/>
      <c r="H11" s="168"/>
      <c r="I11" s="168"/>
    </row>
    <row r="12" spans="1:9" ht="13.2">
      <c r="A12" s="190"/>
      <c r="B12" s="244" t="s">
        <v>456</v>
      </c>
      <c r="C12" s="113"/>
      <c r="D12" s="113"/>
      <c r="E12" s="113"/>
      <c r="F12" s="357"/>
      <c r="G12" s="256"/>
      <c r="H12" s="168"/>
      <c r="I12" s="168"/>
    </row>
    <row r="13" spans="1:9" ht="13.2">
      <c r="A13" s="190"/>
      <c r="B13" s="77" t="s">
        <v>457</v>
      </c>
      <c r="C13" s="253"/>
      <c r="D13" s="253"/>
      <c r="E13" s="113"/>
      <c r="F13" s="357"/>
      <c r="G13" s="256"/>
      <c r="H13" s="168"/>
      <c r="I13" s="168"/>
    </row>
    <row r="14" spans="1:9" ht="13.2">
      <c r="A14" s="190"/>
      <c r="B14" s="244" t="s">
        <v>458</v>
      </c>
      <c r="C14" s="253"/>
      <c r="D14" s="253"/>
      <c r="E14" s="244"/>
      <c r="F14" s="119"/>
      <c r="G14" s="256"/>
      <c r="H14" s="168"/>
      <c r="I14" s="168"/>
    </row>
    <row r="15" spans="1:9" ht="13.2">
      <c r="A15" s="190"/>
      <c r="B15" s="433" t="s">
        <v>459</v>
      </c>
      <c r="C15" s="253"/>
      <c r="D15" s="253"/>
      <c r="E15" s="244"/>
      <c r="F15" s="357"/>
      <c r="G15" s="256"/>
      <c r="H15" s="168"/>
      <c r="I15" s="168"/>
    </row>
    <row r="16" spans="1:9" ht="13.2">
      <c r="A16" s="190"/>
      <c r="B16" s="433" t="s">
        <v>460</v>
      </c>
      <c r="C16" s="253"/>
      <c r="D16" s="253"/>
      <c r="E16" s="244"/>
      <c r="F16" s="357"/>
      <c r="G16" s="256"/>
      <c r="H16" s="168"/>
      <c r="I16" s="168"/>
    </row>
    <row r="17" spans="1:9" ht="13.2">
      <c r="A17" s="190"/>
      <c r="B17" s="174" t="s">
        <v>461</v>
      </c>
      <c r="C17" s="244"/>
      <c r="D17" s="113">
        <f>(D4+D7)+D8</f>
        <v>134604.8378766762</v>
      </c>
      <c r="E17" s="244"/>
      <c r="F17" s="175">
        <f>(F4+F7)+F8</f>
        <v>281320.79330263688</v>
      </c>
      <c r="G17" s="256"/>
      <c r="H17" s="168"/>
      <c r="I17" s="168"/>
    </row>
    <row r="18" spans="1:9" ht="13.2">
      <c r="A18" s="190"/>
      <c r="B18" s="244"/>
      <c r="C18" s="253"/>
      <c r="D18" s="253"/>
      <c r="E18" s="244"/>
      <c r="F18" s="357"/>
      <c r="G18" s="256"/>
      <c r="H18" s="168"/>
      <c r="I18" s="168"/>
    </row>
    <row r="19" spans="1:9" ht="13.2">
      <c r="A19" s="190"/>
      <c r="B19" s="384" t="s">
        <v>462</v>
      </c>
      <c r="C19" s="253"/>
      <c r="D19" s="253"/>
      <c r="E19" s="244"/>
      <c r="F19" s="357"/>
      <c r="G19" s="256"/>
      <c r="H19" s="168"/>
      <c r="I19" s="168"/>
    </row>
    <row r="20" spans="1:9" ht="13.2">
      <c r="A20" s="190"/>
      <c r="B20" s="433" t="s">
        <v>463</v>
      </c>
      <c r="C20" s="253">
        <v>0</v>
      </c>
      <c r="D20" s="253">
        <v>0</v>
      </c>
      <c r="E20" s="244">
        <v>0</v>
      </c>
      <c r="F20" s="357">
        <v>0</v>
      </c>
      <c r="G20" s="256"/>
      <c r="H20" s="168"/>
      <c r="I20" s="168"/>
    </row>
    <row r="21" spans="1:9" ht="13.2">
      <c r="A21" s="190"/>
      <c r="B21" s="433" t="s">
        <v>464</v>
      </c>
      <c r="C21" s="253">
        <v>0</v>
      </c>
      <c r="D21" s="253">
        <v>0</v>
      </c>
      <c r="E21" s="244">
        <v>0</v>
      </c>
      <c r="F21" s="357">
        <v>0</v>
      </c>
      <c r="G21" s="256"/>
      <c r="H21" s="168"/>
      <c r="I21" s="168"/>
    </row>
    <row r="22" spans="1:9" ht="13.2">
      <c r="A22" s="190"/>
      <c r="B22" s="384" t="s">
        <v>465</v>
      </c>
      <c r="C22" s="113">
        <f>C21+C20</f>
        <v>0</v>
      </c>
      <c r="D22" s="113">
        <f>D20+D21</f>
        <v>0</v>
      </c>
      <c r="E22" s="113">
        <v>0</v>
      </c>
      <c r="F22" s="175">
        <v>0</v>
      </c>
      <c r="G22" s="256"/>
      <c r="H22" s="168"/>
      <c r="I22" s="168"/>
    </row>
    <row r="23" spans="1:9" ht="13.2">
      <c r="A23" s="190"/>
      <c r="B23" s="244"/>
      <c r="C23" s="253"/>
      <c r="D23" s="253"/>
      <c r="E23" s="244"/>
      <c r="F23" s="357"/>
      <c r="G23" s="256"/>
      <c r="H23" s="168"/>
      <c r="I23" s="168"/>
    </row>
    <row r="24" spans="1:9" ht="13.2">
      <c r="A24" s="190"/>
      <c r="B24" s="174" t="s">
        <v>466</v>
      </c>
      <c r="C24" s="253"/>
      <c r="D24" s="253"/>
      <c r="E24" s="244"/>
      <c r="F24" s="357"/>
      <c r="G24" s="256"/>
      <c r="H24" s="168"/>
      <c r="I24" s="168"/>
    </row>
    <row r="25" spans="1:9" ht="13.2">
      <c r="A25" s="190"/>
      <c r="B25" s="433" t="s">
        <v>467</v>
      </c>
      <c r="C25" s="253">
        <v>0</v>
      </c>
      <c r="D25" s="253">
        <v>0</v>
      </c>
      <c r="E25" s="244">
        <v>0</v>
      </c>
      <c r="F25" s="357">
        <v>0</v>
      </c>
      <c r="G25" s="256"/>
      <c r="H25" s="168"/>
      <c r="I25" s="168"/>
    </row>
    <row r="26" spans="1:9" ht="13.2">
      <c r="A26" s="190"/>
      <c r="B26" s="433" t="s">
        <v>468</v>
      </c>
      <c r="C26" s="253">
        <v>0</v>
      </c>
      <c r="D26" s="253">
        <v>0</v>
      </c>
      <c r="E26" s="244">
        <v>0</v>
      </c>
      <c r="F26" s="357">
        <v>0</v>
      </c>
      <c r="G26" s="256"/>
      <c r="H26" s="168"/>
      <c r="I26" s="168"/>
    </row>
    <row r="27" spans="1:9" ht="13.2">
      <c r="A27" s="190"/>
      <c r="B27" s="244" t="s">
        <v>469</v>
      </c>
      <c r="C27" s="253"/>
      <c r="D27" s="253">
        <f>'Trésorerie '!B38-SUM('Trésorerie '!C46:N46)</f>
        <v>44826.796589615726</v>
      </c>
      <c r="E27" s="253"/>
      <c r="F27" s="119">
        <f>D27-SUM('Trésorerie '!O46:Z46)</f>
        <v>23195.270673565483</v>
      </c>
      <c r="G27" s="256"/>
      <c r="H27" s="168"/>
      <c r="I27" s="168"/>
    </row>
    <row r="28" spans="1:9" ht="13.2">
      <c r="A28" s="190"/>
      <c r="B28" s="244" t="s">
        <v>470</v>
      </c>
      <c r="C28" s="253"/>
      <c r="D28" s="253"/>
      <c r="E28" s="375"/>
      <c r="F28" s="119"/>
      <c r="G28" s="256"/>
      <c r="H28" s="168"/>
      <c r="I28" s="168"/>
    </row>
    <row r="29" spans="1:9" ht="13.2">
      <c r="A29" s="190"/>
      <c r="B29" s="244" t="s">
        <v>471</v>
      </c>
      <c r="C29" s="253"/>
      <c r="D29" s="253"/>
      <c r="E29" s="375"/>
      <c r="F29" s="119"/>
      <c r="G29" s="256"/>
      <c r="H29" s="168"/>
      <c r="I29" s="168"/>
    </row>
    <row r="30" spans="1:9" ht="13.2">
      <c r="A30" s="190"/>
      <c r="B30" s="77" t="s">
        <v>472</v>
      </c>
      <c r="C30" s="253"/>
      <c r="D30" s="253">
        <f>IF(('Trésorerie '!O9&gt;0),'Trésorerie '!O9,0) + IF(('Trésorerie '!O10&gt;0),'Trésorerie '!O10,0)</f>
        <v>26216.32</v>
      </c>
      <c r="E30" s="253"/>
      <c r="F30" s="119">
        <f>IF(('Trésorerie '!AA9&gt;0),'Trésorerie '!AA9,0) + IF(('Trésorerie '!AA10&gt;0),'Trésorerie '!AA10,0)</f>
        <v>26216.32</v>
      </c>
      <c r="G30" s="256"/>
      <c r="H30" s="168"/>
      <c r="I30" s="168"/>
    </row>
    <row r="31" spans="1:9" ht="13.2">
      <c r="A31" s="190"/>
      <c r="B31" s="244" t="s">
        <v>473</v>
      </c>
      <c r="C31" s="253"/>
      <c r="D31" s="253">
        <f>'Charges '!C69</f>
        <v>42296.073892749635</v>
      </c>
      <c r="E31" s="253"/>
      <c r="F31" s="119">
        <f>'Charges '!D69</f>
        <v>73346.974566480683</v>
      </c>
      <c r="G31" s="256"/>
      <c r="H31" s="168"/>
      <c r="I31" s="168"/>
    </row>
    <row r="32" spans="1:9" ht="13.2">
      <c r="A32" s="190"/>
      <c r="B32" s="244" t="s">
        <v>474</v>
      </c>
      <c r="C32" s="253"/>
      <c r="D32" s="253">
        <f>'Trésorerie '!N26</f>
        <v>12150</v>
      </c>
      <c r="E32" s="253"/>
      <c r="F32" s="119">
        <f>'Trésorerie '!AA26</f>
        <v>21200</v>
      </c>
      <c r="G32" s="256"/>
      <c r="H32" s="168"/>
      <c r="I32" s="168"/>
    </row>
    <row r="33" spans="1:9" ht="13.2">
      <c r="A33" s="190"/>
      <c r="B33" s="244" t="s">
        <v>475</v>
      </c>
      <c r="C33" s="253"/>
      <c r="D33" s="395">
        <v>0</v>
      </c>
      <c r="E33" s="95"/>
      <c r="F33" s="119">
        <v>0</v>
      </c>
      <c r="G33" s="256"/>
      <c r="H33" s="168"/>
      <c r="I33" s="216"/>
    </row>
    <row r="34" spans="1:9" ht="13.2">
      <c r="A34" s="190"/>
      <c r="B34" s="77" t="s">
        <v>476</v>
      </c>
      <c r="C34" s="253"/>
      <c r="D34" s="253">
        <f>IF((TVA!N10&gt;0),TVA!N10,0)</f>
        <v>39200</v>
      </c>
      <c r="E34" s="253"/>
      <c r="F34" s="119">
        <f>IF((TVA!Z10&gt;0),TVA!Z10,0)</f>
        <v>15680</v>
      </c>
      <c r="G34" s="256"/>
      <c r="H34" s="168"/>
      <c r="I34" s="168"/>
    </row>
    <row r="35" spans="1:9" ht="13.2">
      <c r="A35" s="190"/>
      <c r="B35" s="77" t="s">
        <v>477</v>
      </c>
      <c r="C35" s="253"/>
      <c r="D35" s="113"/>
      <c r="E35" s="253"/>
      <c r="F35" s="175"/>
      <c r="G35" s="256"/>
      <c r="H35" s="168"/>
      <c r="I35" s="168"/>
    </row>
    <row r="36" spans="1:9" ht="13.2">
      <c r="A36" s="190"/>
      <c r="B36" s="174" t="s">
        <v>478</v>
      </c>
      <c r="C36" s="253"/>
      <c r="D36" s="253"/>
      <c r="E36" s="253"/>
      <c r="F36" s="357"/>
      <c r="G36" s="256"/>
      <c r="H36" s="168"/>
      <c r="I36" s="168"/>
    </row>
    <row r="37" spans="1:9" ht="13.2">
      <c r="A37" s="190"/>
      <c r="B37" s="174" t="s">
        <v>479</v>
      </c>
      <c r="C37" s="244"/>
      <c r="D37" s="113">
        <f>SUM(D27:D34)</f>
        <v>164689.19048236537</v>
      </c>
      <c r="E37" s="244"/>
      <c r="F37" s="175">
        <f>SUM(F27:F34)</f>
        <v>159638.56524004618</v>
      </c>
      <c r="G37" s="256"/>
      <c r="H37" s="168"/>
      <c r="I37" s="168"/>
    </row>
    <row r="38" spans="1:9" ht="13.2">
      <c r="A38" s="190"/>
      <c r="B38" s="244"/>
      <c r="C38" s="253"/>
      <c r="D38" s="253"/>
      <c r="E38" s="244"/>
      <c r="F38" s="357"/>
      <c r="G38" s="256"/>
      <c r="H38" s="168"/>
      <c r="I38" s="168"/>
    </row>
    <row r="39" spans="1:9" ht="13.2">
      <c r="A39" s="190"/>
      <c r="B39" s="384" t="s">
        <v>480</v>
      </c>
      <c r="C39" s="253"/>
      <c r="D39" s="253"/>
      <c r="E39" s="244"/>
      <c r="F39" s="357"/>
      <c r="G39" s="256"/>
      <c r="H39" s="168"/>
      <c r="I39" s="168"/>
    </row>
    <row r="40" spans="1:9" ht="13.2" hidden="1">
      <c r="A40" s="190"/>
      <c r="B40" s="433" t="s">
        <v>481</v>
      </c>
      <c r="C40" s="253"/>
      <c r="D40" s="253"/>
      <c r="E40" s="244"/>
      <c r="F40" s="357"/>
      <c r="G40" s="256"/>
      <c r="H40" s="168"/>
      <c r="I40" s="168"/>
    </row>
    <row r="41" spans="1:9" ht="13.2" hidden="1">
      <c r="A41" s="190"/>
      <c r="B41" s="433" t="s">
        <v>482</v>
      </c>
      <c r="C41" s="253"/>
      <c r="D41" s="253"/>
      <c r="E41" s="244"/>
      <c r="F41" s="357"/>
      <c r="G41" s="256"/>
      <c r="H41" s="168"/>
      <c r="I41" s="168"/>
    </row>
    <row r="42" spans="1:9" ht="13.2">
      <c r="A42" s="190"/>
      <c r="B42" s="384" t="s">
        <v>483</v>
      </c>
      <c r="C42" s="253"/>
      <c r="D42" s="113"/>
      <c r="E42" s="375"/>
      <c r="F42" s="357"/>
      <c r="G42" s="256"/>
      <c r="H42" s="168"/>
      <c r="I42" s="168"/>
    </row>
    <row r="43" spans="1:9" ht="13.2">
      <c r="A43" s="190"/>
      <c r="B43" s="244"/>
      <c r="C43" s="253"/>
      <c r="D43" s="253"/>
      <c r="E43" s="244"/>
      <c r="F43" s="357"/>
      <c r="G43" s="256"/>
      <c r="H43" s="168"/>
      <c r="I43" s="168"/>
    </row>
    <row r="44" spans="1:9" ht="13.5" customHeight="1">
      <c r="A44" s="403"/>
      <c r="B44" s="405" t="s">
        <v>484</v>
      </c>
      <c r="C44" s="275"/>
      <c r="D44" s="217">
        <f>D37+D17</f>
        <v>299294.02835904155</v>
      </c>
      <c r="E44" s="275"/>
      <c r="F44" s="343">
        <f>F37+F17</f>
        <v>440959.35854268307</v>
      </c>
      <c r="G44" s="256"/>
      <c r="H44" s="168"/>
      <c r="I44" s="168"/>
    </row>
  </sheetData>
  <mergeCells count="2">
    <mergeCell ref="C1:D1"/>
    <mergeCell ref="E1:F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H41" sqref="H41"/>
    </sheetView>
  </sheetViews>
  <sheetFormatPr baseColWidth="10" defaultColWidth="10.6640625" defaultRowHeight="12.75" customHeight="1"/>
  <cols>
    <col min="1" max="1" width="5.33203125" customWidth="1"/>
    <col min="2" max="2" width="80.88671875" customWidth="1"/>
    <col min="3" max="4" width="9.109375" customWidth="1"/>
    <col min="5" max="6" width="10.109375" customWidth="1"/>
    <col min="7" max="7" width="9.6640625" customWidth="1"/>
    <col min="9" max="9" width="36.88671875" customWidth="1"/>
  </cols>
  <sheetData>
    <row r="1" spans="1:11" ht="13.2">
      <c r="A1" s="423" t="s">
        <v>347</v>
      </c>
      <c r="B1" s="109" t="s">
        <v>485</v>
      </c>
      <c r="C1" s="483" t="s">
        <v>348</v>
      </c>
      <c r="D1" s="483"/>
      <c r="E1" s="483"/>
      <c r="F1" s="483" t="s">
        <v>349</v>
      </c>
      <c r="G1" s="483"/>
      <c r="H1" s="483"/>
      <c r="I1" s="89"/>
      <c r="J1" s="168"/>
      <c r="K1" s="168"/>
    </row>
    <row r="2" spans="1:11" ht="25.5" customHeight="1">
      <c r="A2" s="423"/>
      <c r="B2" s="310"/>
      <c r="C2" s="387" t="s">
        <v>486</v>
      </c>
      <c r="D2" s="387" t="s">
        <v>487</v>
      </c>
      <c r="E2" s="387" t="s">
        <v>488</v>
      </c>
      <c r="F2" s="387" t="s">
        <v>489</v>
      </c>
      <c r="G2" s="387" t="s">
        <v>487</v>
      </c>
      <c r="H2" s="149" t="s">
        <v>490</v>
      </c>
      <c r="I2" s="256"/>
      <c r="J2" s="168"/>
      <c r="K2" s="168"/>
    </row>
    <row r="3" spans="1:11" ht="13.2">
      <c r="A3" s="423"/>
      <c r="B3" s="338" t="s">
        <v>491</v>
      </c>
      <c r="C3" s="244"/>
      <c r="D3" s="244"/>
      <c r="E3" s="332">
        <v>0</v>
      </c>
      <c r="F3" s="174"/>
      <c r="G3" s="244"/>
      <c r="H3" s="72"/>
      <c r="I3" s="256"/>
      <c r="J3" s="168"/>
      <c r="K3" s="168"/>
    </row>
    <row r="4" spans="1:11" ht="13.2">
      <c r="A4" s="423"/>
      <c r="B4" s="338" t="s">
        <v>492</v>
      </c>
      <c r="C4" s="244"/>
      <c r="D4" s="244"/>
      <c r="E4" s="244"/>
      <c r="F4" s="244"/>
      <c r="G4" s="244"/>
      <c r="H4" s="357"/>
      <c r="I4" s="256"/>
      <c r="J4" s="168"/>
      <c r="K4" s="168"/>
    </row>
    <row r="5" spans="1:11" ht="13.2">
      <c r="A5" s="423"/>
      <c r="B5" s="338" t="s">
        <v>222</v>
      </c>
      <c r="C5" s="113">
        <f>Immo!C34</f>
        <v>24000</v>
      </c>
      <c r="D5" s="113">
        <f>Immo!C35</f>
        <v>8000</v>
      </c>
      <c r="E5" s="113">
        <f>C5-D5</f>
        <v>16000</v>
      </c>
      <c r="F5" s="113">
        <f>Immo!M34</f>
        <v>0</v>
      </c>
      <c r="G5" s="113">
        <f>Immo!M35</f>
        <v>8000</v>
      </c>
      <c r="H5" s="175">
        <f>(E5-G5)+F5</f>
        <v>8000</v>
      </c>
      <c r="I5" s="256"/>
      <c r="J5" s="168"/>
      <c r="K5" s="168"/>
    </row>
    <row r="6" spans="1:11" ht="13.2">
      <c r="A6" s="423"/>
      <c r="B6" s="190" t="s">
        <v>493</v>
      </c>
      <c r="C6" s="253">
        <f>Immo!C31</f>
        <v>6000</v>
      </c>
      <c r="D6" s="253">
        <f>Immo!E31</f>
        <v>2000</v>
      </c>
      <c r="E6" s="253">
        <f>C6-D6</f>
        <v>4000</v>
      </c>
      <c r="F6" s="253">
        <f>Immo!M31</f>
        <v>0</v>
      </c>
      <c r="G6" s="375">
        <f>Immo!O31</f>
        <v>2000</v>
      </c>
      <c r="H6" s="119">
        <f>(E6-G6)+F6</f>
        <v>2000</v>
      </c>
      <c r="I6" s="256"/>
      <c r="J6" s="168"/>
      <c r="K6" s="168"/>
    </row>
    <row r="7" spans="1:11" ht="13.2">
      <c r="A7" s="423"/>
      <c r="B7" s="190" t="s">
        <v>494</v>
      </c>
      <c r="C7" s="253">
        <f>Immo!C32</f>
        <v>18000</v>
      </c>
      <c r="D7" s="253">
        <f>Immo!E32</f>
        <v>6000</v>
      </c>
      <c r="E7" s="253">
        <f>C7-D7</f>
        <v>12000</v>
      </c>
      <c r="F7" s="253">
        <f>Immo!M32</f>
        <v>0</v>
      </c>
      <c r="G7" s="375">
        <f>Immo!O32</f>
        <v>6000</v>
      </c>
      <c r="H7" s="119">
        <f>(E7-G7)+F7</f>
        <v>6000</v>
      </c>
      <c r="I7" s="256"/>
      <c r="J7" s="168"/>
      <c r="K7" s="168"/>
    </row>
    <row r="8" spans="1:11" ht="13.2">
      <c r="A8" s="423"/>
      <c r="B8" s="295" t="s">
        <v>495</v>
      </c>
      <c r="C8" s="253"/>
      <c r="D8" s="253"/>
      <c r="E8" s="253"/>
      <c r="F8" s="253"/>
      <c r="G8" s="244"/>
      <c r="H8" s="357"/>
      <c r="I8" s="256"/>
      <c r="J8" s="168"/>
      <c r="K8" s="168"/>
    </row>
    <row r="9" spans="1:11" ht="13.2">
      <c r="A9" s="423"/>
      <c r="B9" s="295" t="s">
        <v>496</v>
      </c>
      <c r="C9" s="253"/>
      <c r="D9" s="253"/>
      <c r="E9" s="253"/>
      <c r="F9" s="253"/>
      <c r="G9" s="244"/>
      <c r="H9" s="357"/>
      <c r="I9" s="256"/>
      <c r="J9" s="168"/>
      <c r="K9" s="168"/>
    </row>
    <row r="10" spans="1:11" ht="13.2">
      <c r="A10" s="423"/>
      <c r="B10" s="295" t="s">
        <v>497</v>
      </c>
      <c r="C10" s="253"/>
      <c r="D10" s="253"/>
      <c r="E10" s="253"/>
      <c r="F10" s="253"/>
      <c r="G10" s="244"/>
      <c r="H10" s="357"/>
      <c r="I10" s="256"/>
      <c r="J10" s="168"/>
      <c r="K10" s="168"/>
    </row>
    <row r="11" spans="1:11" ht="13.2">
      <c r="A11" s="423"/>
      <c r="B11" s="295" t="s">
        <v>498</v>
      </c>
      <c r="C11" s="253"/>
      <c r="D11" s="253"/>
      <c r="E11" s="253"/>
      <c r="F11" s="253"/>
      <c r="G11" s="244"/>
      <c r="H11" s="357"/>
      <c r="I11" s="256"/>
      <c r="J11" s="168"/>
      <c r="K11" s="168"/>
    </row>
    <row r="12" spans="1:11" ht="13.2">
      <c r="A12" s="423"/>
      <c r="B12" s="338" t="s">
        <v>200</v>
      </c>
      <c r="C12" s="113">
        <f>Immo!C27</f>
        <v>57100</v>
      </c>
      <c r="D12" s="113">
        <f>Immo!C28</f>
        <v>13420.833333333334</v>
      </c>
      <c r="E12" s="113">
        <f>C12-D12</f>
        <v>43679.166666666664</v>
      </c>
      <c r="F12" s="244">
        <f>Immo!M27</f>
        <v>25950</v>
      </c>
      <c r="G12" s="113">
        <f>Immo!M28</f>
        <v>21165.277777777777</v>
      </c>
      <c r="H12" s="175">
        <f>(E12+F12)-G12</f>
        <v>48463.888888888876</v>
      </c>
      <c r="I12" s="256"/>
      <c r="J12" s="168"/>
      <c r="K12" s="168"/>
    </row>
    <row r="13" spans="1:11" ht="13.2">
      <c r="A13" s="423"/>
      <c r="B13" s="295" t="s">
        <v>499</v>
      </c>
      <c r="C13" s="253"/>
      <c r="D13" s="253"/>
      <c r="E13" s="253"/>
      <c r="F13" s="253"/>
      <c r="G13" s="244"/>
      <c r="H13" s="357"/>
      <c r="I13" s="256"/>
      <c r="J13" s="168"/>
      <c r="K13" s="168"/>
    </row>
    <row r="14" spans="1:11" ht="13.2">
      <c r="A14" s="423"/>
      <c r="B14" s="295" t="s">
        <v>500</v>
      </c>
      <c r="C14" s="253"/>
      <c r="D14" s="253"/>
      <c r="E14" s="253"/>
      <c r="F14" s="253"/>
      <c r="G14" s="244"/>
      <c r="H14" s="357"/>
      <c r="I14" s="256"/>
      <c r="J14" s="168"/>
      <c r="K14" s="168"/>
    </row>
    <row r="15" spans="1:11" ht="13.2">
      <c r="A15" s="423"/>
      <c r="B15" s="190" t="s">
        <v>501</v>
      </c>
      <c r="C15" s="253">
        <f>Immo!C27</f>
        <v>57100</v>
      </c>
      <c r="D15" s="253">
        <f>Immo!C28</f>
        <v>13420.833333333334</v>
      </c>
      <c r="E15" s="253">
        <f>C15-D15</f>
        <v>43679.166666666664</v>
      </c>
      <c r="F15" s="253">
        <f>Immo!M27</f>
        <v>25950</v>
      </c>
      <c r="G15" s="253">
        <f>Immo!M28</f>
        <v>21165.277777777777</v>
      </c>
      <c r="H15" s="119">
        <f>(E15+F15)-G15</f>
        <v>48463.888888888876</v>
      </c>
      <c r="I15" s="256"/>
      <c r="J15" s="168"/>
      <c r="K15" s="168"/>
    </row>
    <row r="16" spans="1:11" ht="13.2">
      <c r="A16" s="423"/>
      <c r="B16" s="295" t="s">
        <v>497</v>
      </c>
      <c r="C16" s="253"/>
      <c r="D16" s="253"/>
      <c r="E16" s="253"/>
      <c r="F16" s="253"/>
      <c r="G16" s="244"/>
      <c r="H16" s="357"/>
      <c r="I16" s="256"/>
      <c r="J16" s="168"/>
      <c r="K16" s="168"/>
    </row>
    <row r="17" spans="1:11" ht="13.2">
      <c r="A17" s="423"/>
      <c r="B17" s="295" t="s">
        <v>502</v>
      </c>
      <c r="C17" s="253"/>
      <c r="D17" s="253"/>
      <c r="E17" s="253"/>
      <c r="F17" s="253"/>
      <c r="G17" s="244"/>
      <c r="H17" s="357"/>
      <c r="I17" s="256"/>
      <c r="J17" s="168"/>
      <c r="K17" s="168"/>
    </row>
    <row r="18" spans="1:11" ht="13.2">
      <c r="A18" s="423"/>
      <c r="B18" s="295" t="s">
        <v>498</v>
      </c>
      <c r="C18" s="253"/>
      <c r="D18" s="253"/>
      <c r="E18" s="253"/>
      <c r="F18" s="253"/>
      <c r="G18" s="244"/>
      <c r="H18" s="357"/>
      <c r="I18" s="256"/>
      <c r="J18" s="168"/>
      <c r="K18" s="168"/>
    </row>
    <row r="19" spans="1:11" ht="13.2">
      <c r="A19" s="423"/>
      <c r="B19" s="385" t="s">
        <v>503</v>
      </c>
      <c r="C19" s="113">
        <v>0</v>
      </c>
      <c r="D19" s="113">
        <v>0</v>
      </c>
      <c r="E19" s="113">
        <v>0</v>
      </c>
      <c r="F19" s="113">
        <f>0</f>
        <v>0</v>
      </c>
      <c r="G19" s="113">
        <f>0</f>
        <v>0</v>
      </c>
      <c r="H19" s="113">
        <f>0</f>
        <v>0</v>
      </c>
      <c r="I19" s="89"/>
      <c r="J19" s="168"/>
      <c r="K19" s="168"/>
    </row>
    <row r="20" spans="1:11" ht="13.2">
      <c r="A20" s="423"/>
      <c r="B20" s="295" t="s">
        <v>504</v>
      </c>
      <c r="C20" s="253"/>
      <c r="D20" s="253"/>
      <c r="E20" s="253"/>
      <c r="F20" s="253"/>
      <c r="G20" s="244"/>
      <c r="H20" s="357"/>
      <c r="I20" s="256"/>
      <c r="J20" s="168"/>
      <c r="K20" s="168"/>
    </row>
    <row r="21" spans="1:11" ht="13.2">
      <c r="A21" s="423"/>
      <c r="B21" s="295" t="s">
        <v>505</v>
      </c>
      <c r="C21" s="253"/>
      <c r="D21" s="253"/>
      <c r="E21" s="253"/>
      <c r="F21" s="253"/>
      <c r="G21" s="244"/>
      <c r="H21" s="357"/>
      <c r="I21" s="256"/>
      <c r="J21" s="168"/>
      <c r="K21" s="168"/>
    </row>
    <row r="22" spans="1:11" ht="13.2">
      <c r="A22" s="423"/>
      <c r="B22" s="295" t="s">
        <v>506</v>
      </c>
      <c r="C22" s="253"/>
      <c r="D22" s="253"/>
      <c r="E22" s="253"/>
      <c r="F22" s="253"/>
      <c r="G22" s="244"/>
      <c r="H22" s="357"/>
      <c r="I22" s="256"/>
      <c r="J22" s="168"/>
      <c r="K22" s="168"/>
    </row>
    <row r="23" spans="1:11" ht="13.2">
      <c r="A23" s="423"/>
      <c r="B23" s="295" t="s">
        <v>507</v>
      </c>
      <c r="C23" s="253"/>
      <c r="D23" s="253"/>
      <c r="E23" s="253"/>
      <c r="F23" s="253"/>
      <c r="G23" s="244"/>
      <c r="H23" s="357"/>
      <c r="I23" s="256"/>
      <c r="J23" s="168"/>
      <c r="K23" s="168"/>
    </row>
    <row r="24" spans="1:11" ht="13.2">
      <c r="A24" s="423"/>
      <c r="B24" s="295" t="s">
        <v>497</v>
      </c>
      <c r="C24" s="253"/>
      <c r="D24" s="253"/>
      <c r="E24" s="253"/>
      <c r="F24" s="253"/>
      <c r="G24" s="244"/>
      <c r="H24" s="357"/>
      <c r="I24" s="256"/>
      <c r="J24" s="168"/>
      <c r="K24" s="168"/>
    </row>
    <row r="25" spans="1:11" ht="13.2">
      <c r="A25" s="423"/>
      <c r="B25" s="338" t="s">
        <v>508</v>
      </c>
      <c r="C25" s="113">
        <f t="shared" ref="C25:H25" si="0">(C5+C12)+C19</f>
        <v>81100</v>
      </c>
      <c r="D25" s="113">
        <f t="shared" si="0"/>
        <v>21420.833333333336</v>
      </c>
      <c r="E25" s="113">
        <f t="shared" si="0"/>
        <v>59679.166666666664</v>
      </c>
      <c r="F25" s="113">
        <f t="shared" si="0"/>
        <v>25950</v>
      </c>
      <c r="G25" s="113">
        <f t="shared" si="0"/>
        <v>29165.277777777777</v>
      </c>
      <c r="H25" s="175">
        <f t="shared" si="0"/>
        <v>56463.888888888876</v>
      </c>
      <c r="I25" s="256"/>
      <c r="J25" s="168"/>
      <c r="K25" s="168"/>
    </row>
    <row r="26" spans="1:11" ht="13.2">
      <c r="A26" s="423"/>
      <c r="B26" s="338"/>
      <c r="C26" s="253"/>
      <c r="D26" s="253"/>
      <c r="E26" s="253"/>
      <c r="F26" s="253"/>
      <c r="G26" s="244"/>
      <c r="H26" s="357"/>
      <c r="I26" s="256"/>
      <c r="J26" s="168"/>
      <c r="K26" s="168"/>
    </row>
    <row r="27" spans="1:11" ht="13.2">
      <c r="A27" s="423"/>
      <c r="B27" s="338" t="s">
        <v>509</v>
      </c>
      <c r="C27" s="253"/>
      <c r="D27" s="253"/>
      <c r="E27" s="253"/>
      <c r="F27" s="253"/>
      <c r="G27" s="244"/>
      <c r="H27" s="357"/>
      <c r="I27" s="256"/>
      <c r="J27" s="168"/>
      <c r="K27" s="168"/>
    </row>
    <row r="28" spans="1:11" ht="13.2">
      <c r="A28" s="423"/>
      <c r="B28" s="338" t="s">
        <v>510</v>
      </c>
      <c r="C28" s="253"/>
      <c r="D28" s="253"/>
      <c r="E28" s="113">
        <f>E30</f>
        <v>18251.53269493844</v>
      </c>
      <c r="F28" s="113"/>
      <c r="G28" s="244"/>
      <c r="H28" s="175">
        <f>H30-E30</f>
        <v>36234.817409159012</v>
      </c>
      <c r="I28" s="256"/>
      <c r="J28" s="168"/>
      <c r="K28" s="168"/>
    </row>
    <row r="29" spans="1:11" ht="13.2">
      <c r="A29" s="423"/>
      <c r="B29" s="295" t="s">
        <v>511</v>
      </c>
      <c r="C29" s="253"/>
      <c r="D29" s="253"/>
      <c r="E29" s="253"/>
      <c r="F29" s="253"/>
      <c r="G29" s="244"/>
      <c r="H29" s="199"/>
      <c r="I29" s="256"/>
      <c r="J29" s="207"/>
      <c r="K29" s="168"/>
    </row>
    <row r="30" spans="1:11" ht="13.2">
      <c r="A30" s="423"/>
      <c r="B30" s="190" t="s">
        <v>512</v>
      </c>
      <c r="C30" s="253"/>
      <c r="D30" s="253"/>
      <c r="E30" s="113">
        <f>TEC!E19</f>
        <v>18251.53269493844</v>
      </c>
      <c r="F30" s="113"/>
      <c r="G30" s="244"/>
      <c r="H30" s="175">
        <f>TEC!I17</f>
        <v>54486.350104097452</v>
      </c>
      <c r="I30" s="256"/>
      <c r="J30" s="168"/>
      <c r="K30" s="168"/>
    </row>
    <row r="31" spans="1:11" ht="13.2">
      <c r="A31" s="423"/>
      <c r="B31" s="295" t="s">
        <v>513</v>
      </c>
      <c r="C31" s="253"/>
      <c r="D31" s="253"/>
      <c r="E31" s="253"/>
      <c r="F31" s="253"/>
      <c r="G31" s="244"/>
      <c r="H31" s="357"/>
      <c r="I31" s="256"/>
      <c r="J31" s="168"/>
      <c r="K31" s="168"/>
    </row>
    <row r="32" spans="1:11" ht="13.2">
      <c r="A32" s="423"/>
      <c r="B32" s="295" t="s">
        <v>514</v>
      </c>
      <c r="C32" s="253"/>
      <c r="D32" s="253"/>
      <c r="E32" s="253"/>
      <c r="F32" s="253"/>
      <c r="G32" s="244"/>
      <c r="H32" s="357"/>
      <c r="I32" s="256"/>
      <c r="J32" s="168"/>
      <c r="K32" s="168"/>
    </row>
    <row r="33" spans="1:11" ht="13.2">
      <c r="A33" s="423"/>
      <c r="B33" s="338" t="s">
        <v>515</v>
      </c>
      <c r="C33" s="253"/>
      <c r="D33" s="253"/>
      <c r="E33" s="113"/>
      <c r="F33" s="113"/>
      <c r="G33" s="244"/>
      <c r="H33" s="72"/>
      <c r="I33" s="256"/>
      <c r="J33" s="168"/>
      <c r="K33" s="168"/>
    </row>
    <row r="34" spans="1:11" ht="13.2">
      <c r="A34" s="423"/>
      <c r="B34" s="338" t="s">
        <v>516</v>
      </c>
      <c r="C34" s="253"/>
      <c r="D34" s="253"/>
      <c r="E34" s="113">
        <f>E35+E36</f>
        <v>124848.88</v>
      </c>
      <c r="F34" s="113"/>
      <c r="G34" s="244"/>
      <c r="H34" s="175">
        <f>H35+H36</f>
        <v>123579.52</v>
      </c>
      <c r="I34" s="256"/>
      <c r="J34" s="168"/>
      <c r="K34" s="168"/>
    </row>
    <row r="35" spans="1:11" ht="13.2">
      <c r="A35" s="423"/>
      <c r="B35" s="190" t="s">
        <v>517</v>
      </c>
      <c r="C35" s="253"/>
      <c r="D35" s="253"/>
      <c r="E35" s="253">
        <f>'Prod,Fact,Encaisse'!D86-'Prod,Fact,Encaisse'!D90</f>
        <v>119600</v>
      </c>
      <c r="F35" s="253"/>
      <c r="G35" s="244"/>
      <c r="H35" s="119">
        <f>(E35+'Prod,Fact,Encaisse'!G86)-'Prod,Fact,Encaisse'!G87</f>
        <v>110032</v>
      </c>
      <c r="I35" s="256"/>
      <c r="J35" s="168"/>
      <c r="K35" s="168"/>
    </row>
    <row r="36" spans="1:11" ht="13.2">
      <c r="A36" s="423"/>
      <c r="B36" s="190" t="s">
        <v>518</v>
      </c>
      <c r="C36" s="253"/>
      <c r="D36" s="253"/>
      <c r="E36" s="253">
        <f>TVA!N20</f>
        <v>5248.88</v>
      </c>
      <c r="F36" s="253"/>
      <c r="G36" s="244"/>
      <c r="H36" s="119">
        <f>TVA!Z20</f>
        <v>13547.52</v>
      </c>
      <c r="I36" s="256"/>
      <c r="J36" s="168"/>
      <c r="K36" s="168"/>
    </row>
    <row r="37" spans="1:11" ht="13.2">
      <c r="A37" s="423"/>
      <c r="B37" s="295" t="s">
        <v>519</v>
      </c>
      <c r="C37" s="253"/>
      <c r="D37" s="253"/>
      <c r="E37" s="253"/>
      <c r="F37" s="253"/>
      <c r="G37" s="244"/>
      <c r="H37" s="357"/>
      <c r="I37" s="256"/>
      <c r="J37" s="168"/>
      <c r="K37" s="168"/>
    </row>
    <row r="38" spans="1:11" ht="13.2">
      <c r="A38" s="423"/>
      <c r="B38" s="385" t="s">
        <v>520</v>
      </c>
      <c r="C38" s="253"/>
      <c r="D38" s="253"/>
      <c r="E38" s="113"/>
      <c r="F38" s="113"/>
      <c r="G38" s="244"/>
      <c r="H38" s="72"/>
      <c r="I38" s="256"/>
      <c r="J38" s="168"/>
      <c r="K38" s="168"/>
    </row>
    <row r="39" spans="1:11" ht="13.2">
      <c r="A39" s="423"/>
      <c r="B39" s="295" t="s">
        <v>521</v>
      </c>
      <c r="C39" s="253"/>
      <c r="D39" s="253"/>
      <c r="E39" s="253"/>
      <c r="F39" s="253"/>
      <c r="G39" s="244"/>
      <c r="H39" s="357"/>
      <c r="I39" s="256"/>
      <c r="J39" s="168"/>
      <c r="K39" s="168"/>
    </row>
    <row r="40" spans="1:11" ht="13.2">
      <c r="A40" s="423"/>
      <c r="B40" s="295" t="s">
        <v>522</v>
      </c>
      <c r="C40" s="253"/>
      <c r="D40" s="253"/>
      <c r="E40" s="253"/>
      <c r="F40" s="253"/>
      <c r="G40" s="244"/>
      <c r="H40" s="357"/>
      <c r="I40" s="256"/>
      <c r="J40" s="168"/>
      <c r="K40" s="168"/>
    </row>
    <row r="41" spans="1:11" ht="13.2">
      <c r="A41" s="423"/>
      <c r="B41" s="338" t="s">
        <v>523</v>
      </c>
      <c r="C41" s="253"/>
      <c r="D41" s="253"/>
      <c r="E41" s="113">
        <f>'Trésorerie '!O3</f>
        <v>96514.448997436455</v>
      </c>
      <c r="F41" s="113"/>
      <c r="G41" s="244"/>
      <c r="H41" s="175">
        <f>'Trésorerie '!AA3</f>
        <v>295514.79344244639</v>
      </c>
      <c r="I41" s="256"/>
      <c r="J41" s="168"/>
      <c r="K41" s="168"/>
    </row>
    <row r="42" spans="1:11" ht="13.2">
      <c r="A42" s="423"/>
      <c r="B42" s="338" t="s">
        <v>524</v>
      </c>
      <c r="C42" s="253"/>
      <c r="D42" s="253"/>
      <c r="E42" s="113">
        <f>(E34+E41)+E30</f>
        <v>239614.86169237489</v>
      </c>
      <c r="F42" s="113"/>
      <c r="G42" s="244"/>
      <c r="H42" s="175">
        <f>(H41+H34)+H28</f>
        <v>455329.13085160544</v>
      </c>
      <c r="I42" s="140">
        <v>258368.72</v>
      </c>
      <c r="J42" s="168"/>
      <c r="K42" s="168"/>
    </row>
    <row r="43" spans="1:11" ht="13.2">
      <c r="A43" s="423"/>
      <c r="B43" s="338"/>
      <c r="C43" s="253"/>
      <c r="D43" s="253"/>
      <c r="E43" s="253"/>
      <c r="F43" s="253"/>
      <c r="G43" s="244"/>
      <c r="H43" s="357"/>
      <c r="I43" s="256"/>
      <c r="J43" s="168"/>
      <c r="K43" s="168"/>
    </row>
    <row r="44" spans="1:11" ht="13.2">
      <c r="A44" s="423"/>
      <c r="B44" s="385" t="s">
        <v>480</v>
      </c>
      <c r="C44" s="253"/>
      <c r="D44" s="253"/>
      <c r="E44" s="113"/>
      <c r="F44" s="113"/>
      <c r="G44" s="244"/>
      <c r="H44" s="357"/>
      <c r="I44" s="256"/>
      <c r="J44" s="168"/>
      <c r="K44" s="168"/>
    </row>
    <row r="45" spans="1:11" ht="13.2">
      <c r="A45" s="423"/>
      <c r="B45" s="295" t="s">
        <v>525</v>
      </c>
      <c r="C45" s="253"/>
      <c r="D45" s="253"/>
      <c r="E45" s="253"/>
      <c r="F45" s="253"/>
      <c r="G45" s="244"/>
      <c r="H45" s="357"/>
      <c r="I45" s="256"/>
      <c r="J45" s="168"/>
      <c r="K45" s="168"/>
    </row>
    <row r="46" spans="1:11" ht="13.2">
      <c r="A46" s="423"/>
      <c r="B46" s="295" t="s">
        <v>526</v>
      </c>
      <c r="C46" s="253"/>
      <c r="D46" s="253"/>
      <c r="E46" s="253"/>
      <c r="F46" s="253"/>
      <c r="G46" s="244"/>
      <c r="H46" s="357"/>
      <c r="I46" s="256"/>
      <c r="J46" s="168"/>
      <c r="K46" s="216"/>
    </row>
    <row r="47" spans="1:11" ht="13.2">
      <c r="A47" s="423"/>
      <c r="B47" s="295" t="s">
        <v>527</v>
      </c>
      <c r="C47" s="253"/>
      <c r="D47" s="253"/>
      <c r="E47" s="253"/>
      <c r="F47" s="253"/>
      <c r="G47" s="244"/>
      <c r="H47" s="357"/>
      <c r="I47" s="256"/>
      <c r="J47" s="168"/>
      <c r="K47" s="168"/>
    </row>
    <row r="48" spans="1:11" ht="13.2">
      <c r="A48" s="423"/>
      <c r="B48" s="295" t="s">
        <v>528</v>
      </c>
      <c r="C48" s="253"/>
      <c r="D48" s="253"/>
      <c r="E48" s="253"/>
      <c r="F48" s="253"/>
      <c r="G48" s="244"/>
      <c r="H48" s="357"/>
      <c r="I48" s="256"/>
      <c r="J48" s="168"/>
      <c r="K48" s="168"/>
    </row>
    <row r="49" spans="1:11" ht="13.2">
      <c r="A49" s="423"/>
      <c r="B49" s="385" t="s">
        <v>483</v>
      </c>
      <c r="C49" s="253"/>
      <c r="D49" s="253"/>
      <c r="E49" s="113">
        <v>0</v>
      </c>
      <c r="F49" s="113"/>
      <c r="G49" s="244"/>
      <c r="H49" s="175">
        <v>0</v>
      </c>
      <c r="I49" s="256"/>
      <c r="J49" s="168"/>
      <c r="K49" s="168"/>
    </row>
    <row r="50" spans="1:11" ht="13.2">
      <c r="A50" s="423"/>
      <c r="B50" s="190"/>
      <c r="C50" s="253"/>
      <c r="D50" s="253"/>
      <c r="E50" s="253"/>
      <c r="F50" s="253"/>
      <c r="G50" s="244"/>
      <c r="H50" s="357"/>
      <c r="I50" s="140"/>
      <c r="J50" s="168"/>
      <c r="K50" s="168"/>
    </row>
    <row r="51" spans="1:11" ht="13.5" customHeight="1">
      <c r="A51" s="423"/>
      <c r="B51" s="331" t="s">
        <v>529</v>
      </c>
      <c r="C51" s="158"/>
      <c r="D51" s="158"/>
      <c r="E51" s="217">
        <f>(E42+E25)+E3</f>
        <v>299294.02835904155</v>
      </c>
      <c r="F51" s="217"/>
      <c r="G51" s="158"/>
      <c r="H51" s="343">
        <f>((H3+H25)+H42)+H49</f>
        <v>511793.01974049432</v>
      </c>
      <c r="I51" s="256"/>
      <c r="J51" s="207"/>
      <c r="K51" s="168"/>
    </row>
    <row r="52" spans="1:11" ht="13.2">
      <c r="A52" s="168"/>
      <c r="B52" s="402"/>
      <c r="C52" s="402"/>
      <c r="D52" s="402"/>
      <c r="E52" s="402"/>
      <c r="F52" s="402"/>
      <c r="G52" s="402"/>
      <c r="H52" s="402"/>
      <c r="I52" s="168"/>
      <c r="J52" s="168"/>
      <c r="K52" s="168"/>
    </row>
    <row r="53" spans="1:11" ht="13.2">
      <c r="A53" s="168"/>
      <c r="B53" s="168"/>
      <c r="C53" s="168"/>
      <c r="D53" s="168"/>
      <c r="E53" s="168"/>
      <c r="F53" s="168"/>
      <c r="G53" s="168"/>
      <c r="H53" s="168"/>
      <c r="I53" s="216"/>
      <c r="J53" s="168"/>
      <c r="K53" s="168"/>
    </row>
    <row r="54" spans="1:11" ht="13.2">
      <c r="A54" s="168"/>
      <c r="B54" s="168"/>
      <c r="C54" s="168"/>
      <c r="D54" s="168"/>
      <c r="E54" s="168"/>
      <c r="F54" s="168"/>
      <c r="G54" s="216"/>
      <c r="H54" s="168"/>
      <c r="I54" s="168"/>
      <c r="J54" s="216"/>
      <c r="K54" s="168"/>
    </row>
    <row r="55" spans="1:11" ht="13.2">
      <c r="A55" s="168"/>
      <c r="B55" s="168"/>
      <c r="C55" s="168"/>
      <c r="D55" s="168"/>
      <c r="E55" s="168"/>
      <c r="F55" s="168"/>
      <c r="G55" s="168"/>
      <c r="H55" s="168"/>
      <c r="I55" s="168"/>
      <c r="J55" s="168"/>
      <c r="K55" s="168"/>
    </row>
    <row r="56" spans="1:11" ht="13.2">
      <c r="A56" s="168"/>
      <c r="B56" s="168"/>
      <c r="C56" s="168"/>
      <c r="D56" s="168"/>
      <c r="E56" s="168"/>
      <c r="F56" s="168"/>
      <c r="G56" s="168"/>
      <c r="H56" s="216"/>
      <c r="I56" s="168"/>
      <c r="J56" s="168"/>
      <c r="K56" s="168"/>
    </row>
  </sheetData>
  <mergeCells count="2">
    <mergeCell ref="C1:E1"/>
    <mergeCell ref="F1:H1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6"/>
  <sheetViews>
    <sheetView topLeftCell="A13" workbookViewId="0">
      <selection activeCell="E13" sqref="E13"/>
    </sheetView>
  </sheetViews>
  <sheetFormatPr baseColWidth="10" defaultColWidth="10.6640625" defaultRowHeight="12.75" customHeight="1"/>
  <cols>
    <col min="1" max="1" width="60.44140625" customWidth="1"/>
    <col min="2" max="2" width="9.33203125" customWidth="1"/>
    <col min="3" max="3" width="8.6640625" customWidth="1"/>
    <col min="4" max="4" width="78.44140625" customWidth="1"/>
    <col min="5" max="5" width="11.109375" customWidth="1"/>
  </cols>
  <sheetData>
    <row r="1" spans="1:6" ht="13.2">
      <c r="A1" s="484" t="s">
        <v>530</v>
      </c>
      <c r="B1" s="485"/>
      <c r="C1" s="206"/>
      <c r="D1" s="484" t="s">
        <v>531</v>
      </c>
      <c r="E1" s="485"/>
      <c r="F1" s="89"/>
    </row>
    <row r="2" spans="1:6" ht="13.2">
      <c r="A2" s="378" t="s">
        <v>532</v>
      </c>
      <c r="B2" s="412"/>
      <c r="C2" s="427"/>
      <c r="D2" s="227" t="s">
        <v>533</v>
      </c>
      <c r="E2" s="396">
        <f>'Produits '!C7</f>
        <v>720000</v>
      </c>
      <c r="F2" s="256"/>
    </row>
    <row r="3" spans="1:6" ht="13.2">
      <c r="A3" s="177" t="s">
        <v>534</v>
      </c>
      <c r="B3" s="166">
        <f>'Trésorerie '!B37</f>
        <v>50000</v>
      </c>
      <c r="C3" s="282"/>
      <c r="D3" s="37" t="s">
        <v>535</v>
      </c>
      <c r="E3" s="333">
        <v>1</v>
      </c>
      <c r="F3" s="256"/>
    </row>
    <row r="4" spans="1:6" ht="13.2">
      <c r="A4" s="177" t="s">
        <v>536</v>
      </c>
      <c r="B4" s="166">
        <f>'Charges '!C71</f>
        <v>84604.837876676203</v>
      </c>
      <c r="C4" s="282"/>
      <c r="D4" s="227" t="s">
        <v>537</v>
      </c>
      <c r="E4" s="396">
        <f>E2*(1+E3)</f>
        <v>1440000</v>
      </c>
      <c r="F4" s="256"/>
    </row>
    <row r="5" spans="1:6" ht="13.2">
      <c r="A5" s="177" t="s">
        <v>538</v>
      </c>
      <c r="B5" s="33">
        <f>'Passif '!D27</f>
        <v>44826.796589615726</v>
      </c>
      <c r="C5" s="61"/>
      <c r="D5" s="190"/>
      <c r="E5" s="364"/>
      <c r="F5" s="256"/>
    </row>
    <row r="6" spans="1:6" ht="13.2">
      <c r="A6" s="177" t="s">
        <v>539</v>
      </c>
      <c r="B6" s="166">
        <f>'Actif '!E25</f>
        <v>59679.166666666664</v>
      </c>
      <c r="C6" s="282"/>
      <c r="D6" s="219" t="s">
        <v>540</v>
      </c>
      <c r="E6" s="396">
        <f>'Charges '!C71</f>
        <v>84604.837876676203</v>
      </c>
      <c r="F6" s="256"/>
    </row>
    <row r="7" spans="1:6" ht="13.2">
      <c r="A7" s="35" t="s">
        <v>541</v>
      </c>
      <c r="B7" s="260">
        <f>((B3+B4)+B5)-B6</f>
        <v>119752.46779962527</v>
      </c>
      <c r="C7" s="418"/>
      <c r="D7" s="227" t="s">
        <v>542</v>
      </c>
      <c r="E7" s="358">
        <f>E6/E2</f>
        <v>0.11750671927316139</v>
      </c>
      <c r="F7" s="256"/>
    </row>
    <row r="8" spans="1:6" ht="13.2">
      <c r="A8" s="378" t="s">
        <v>543</v>
      </c>
      <c r="B8" s="166"/>
      <c r="C8" s="282"/>
      <c r="D8" s="227" t="s">
        <v>544</v>
      </c>
      <c r="E8" s="396">
        <f>B16</f>
        <v>23238.018802188803</v>
      </c>
      <c r="F8" s="256"/>
    </row>
    <row r="9" spans="1:6" ht="13.2">
      <c r="A9" s="177" t="s">
        <v>545</v>
      </c>
      <c r="B9" s="166">
        <f>'Actif '!E30</f>
        <v>18251.53269493844</v>
      </c>
      <c r="C9" s="282"/>
      <c r="D9" s="227" t="s">
        <v>546</v>
      </c>
      <c r="E9" s="358">
        <f>E8/E2</f>
        <v>3.2275026114151117E-2</v>
      </c>
      <c r="F9" s="256"/>
    </row>
    <row r="10" spans="1:6" ht="13.2">
      <c r="A10" s="177" t="s">
        <v>547</v>
      </c>
      <c r="B10" s="166">
        <f>'Actif '!E35</f>
        <v>119600</v>
      </c>
      <c r="C10" s="282"/>
      <c r="D10" s="227" t="s">
        <v>548</v>
      </c>
      <c r="E10" s="396">
        <f>B35</f>
        <v>36918.562842678322</v>
      </c>
      <c r="F10" s="256"/>
    </row>
    <row r="11" spans="1:6" ht="13.2">
      <c r="A11" s="177" t="s">
        <v>549</v>
      </c>
      <c r="B11" s="166">
        <f>'Actif '!E36</f>
        <v>5248.88</v>
      </c>
      <c r="C11" s="282"/>
      <c r="D11" s="227" t="s">
        <v>550</v>
      </c>
      <c r="E11" s="396">
        <f>E10-E8</f>
        <v>13680.54404048952</v>
      </c>
      <c r="F11" s="256"/>
    </row>
    <row r="12" spans="1:6" ht="13.2">
      <c r="A12" s="177" t="s">
        <v>551</v>
      </c>
      <c r="B12" s="166">
        <f>'Passif '!D30</f>
        <v>26216.32</v>
      </c>
      <c r="C12" s="282"/>
      <c r="D12" s="378" t="s">
        <v>552</v>
      </c>
      <c r="E12" s="426"/>
      <c r="F12" s="256"/>
    </row>
    <row r="13" spans="1:6" ht="13.5" customHeight="1">
      <c r="A13" s="177" t="s">
        <v>553</v>
      </c>
      <c r="B13" s="166">
        <f>'Passif '!D31</f>
        <v>42296.073892749635</v>
      </c>
      <c r="C13" s="282"/>
      <c r="D13" s="184" t="s">
        <v>554</v>
      </c>
      <c r="E13" s="26">
        <f>E6-E8</f>
        <v>61366.819074487401</v>
      </c>
      <c r="F13" s="256"/>
    </row>
    <row r="14" spans="1:6" ht="13.2">
      <c r="A14" s="177" t="s">
        <v>555</v>
      </c>
      <c r="B14" s="166">
        <f>'Passif '!D32</f>
        <v>12150</v>
      </c>
      <c r="C14" s="282"/>
      <c r="D14" s="194" t="s">
        <v>556</v>
      </c>
      <c r="E14" s="359">
        <v>64299.68</v>
      </c>
      <c r="F14" s="256"/>
    </row>
    <row r="15" spans="1:6" ht="13.2">
      <c r="A15" s="177" t="s">
        <v>557</v>
      </c>
      <c r="B15" s="166">
        <f>TVA!N10</f>
        <v>39200</v>
      </c>
      <c r="C15" s="282"/>
      <c r="D15" s="227" t="s">
        <v>558</v>
      </c>
      <c r="E15" s="396"/>
      <c r="F15" s="256"/>
    </row>
    <row r="16" spans="1:6" ht="13.5" customHeight="1">
      <c r="A16" s="35" t="s">
        <v>559</v>
      </c>
      <c r="B16" s="260">
        <f>(((((B9+B10)+B11)-B12)-B13)-B14)-B15</f>
        <v>23238.018802188803</v>
      </c>
      <c r="C16" s="282"/>
      <c r="D16" s="184" t="s">
        <v>560</v>
      </c>
      <c r="E16" s="26"/>
      <c r="F16" s="256"/>
    </row>
    <row r="17" spans="1:6" ht="13.5" customHeight="1">
      <c r="A17" s="312" t="s">
        <v>561</v>
      </c>
      <c r="B17" s="92">
        <f>B7-B16</f>
        <v>96514.44899743647</v>
      </c>
      <c r="C17" s="83"/>
      <c r="D17" s="402"/>
      <c r="E17" s="402"/>
      <c r="F17" s="168"/>
    </row>
    <row r="18" spans="1:6" ht="13.5" customHeight="1">
      <c r="A18" s="40"/>
      <c r="B18" s="40"/>
      <c r="C18" s="20"/>
      <c r="D18" s="168"/>
      <c r="E18" s="168"/>
      <c r="F18" s="168"/>
    </row>
    <row r="19" spans="1:6" ht="13.5" customHeight="1">
      <c r="A19" s="471" t="s">
        <v>562</v>
      </c>
      <c r="B19" s="473"/>
      <c r="C19" s="390"/>
      <c r="D19" s="168"/>
      <c r="E19" s="168"/>
      <c r="F19" s="168"/>
    </row>
    <row r="20" spans="1:6" ht="13.2">
      <c r="A20" s="187" t="s">
        <v>563</v>
      </c>
      <c r="B20" s="198"/>
      <c r="C20" s="60"/>
      <c r="D20" s="168"/>
      <c r="E20" s="168"/>
      <c r="F20" s="168"/>
    </row>
    <row r="21" spans="1:6" ht="13.2">
      <c r="A21" s="177" t="s">
        <v>534</v>
      </c>
      <c r="B21" s="166">
        <f>'Trésorerie '!B37</f>
        <v>50000</v>
      </c>
      <c r="C21" s="256"/>
      <c r="D21" s="457"/>
      <c r="E21" s="457"/>
      <c r="F21" s="168"/>
    </row>
    <row r="22" spans="1:6" ht="13.2">
      <c r="A22" s="177" t="s">
        <v>451</v>
      </c>
      <c r="B22" s="166">
        <f>'Passif '!F7</f>
        <v>226320.79330263688</v>
      </c>
      <c r="C22" s="256"/>
      <c r="D22" s="334"/>
      <c r="E22" s="334"/>
      <c r="F22" s="168"/>
    </row>
    <row r="23" spans="1:6" ht="13.2">
      <c r="A23" s="177" t="s">
        <v>536</v>
      </c>
      <c r="B23" s="166">
        <f>'Charges '!D71</f>
        <v>146715.95542596065</v>
      </c>
      <c r="C23" s="256"/>
      <c r="D23" s="168"/>
      <c r="E23" s="168"/>
      <c r="F23" s="168"/>
    </row>
    <row r="24" spans="1:6" ht="13.2">
      <c r="A24" s="177" t="s">
        <v>538</v>
      </c>
      <c r="B24" s="33">
        <f>'Passif '!F27</f>
        <v>23195.270673565483</v>
      </c>
      <c r="C24" s="256"/>
      <c r="D24" s="168"/>
      <c r="E24" s="168"/>
      <c r="F24" s="168"/>
    </row>
    <row r="25" spans="1:6" ht="13.2">
      <c r="A25" s="177" t="s">
        <v>539</v>
      </c>
      <c r="B25" s="166">
        <f>'Actif '!H25</f>
        <v>56463.888888888876</v>
      </c>
      <c r="C25" s="256"/>
      <c r="D25" s="168"/>
      <c r="E25" s="168"/>
      <c r="F25" s="168"/>
    </row>
    <row r="26" spans="1:6" ht="13.2">
      <c r="A26" s="35" t="s">
        <v>564</v>
      </c>
      <c r="B26" s="260">
        <f>(((B21+B22)+B23)+B24)-B25</f>
        <v>389768.13051327417</v>
      </c>
      <c r="C26" s="256"/>
      <c r="D26" s="6"/>
      <c r="E26" s="391"/>
      <c r="F26" s="168"/>
    </row>
    <row r="27" spans="1:6" ht="13.2">
      <c r="A27" s="378" t="s">
        <v>565</v>
      </c>
      <c r="B27" s="166"/>
      <c r="C27" s="256"/>
      <c r="D27" s="168"/>
      <c r="E27" s="168"/>
      <c r="F27" s="168"/>
    </row>
    <row r="28" spans="1:6" ht="13.2">
      <c r="A28" s="177" t="s">
        <v>545</v>
      </c>
      <c r="B28" s="166">
        <f>'Actif '!H28</f>
        <v>36234.817409159012</v>
      </c>
      <c r="C28" s="256"/>
      <c r="D28" s="168"/>
      <c r="E28" s="168"/>
      <c r="F28" s="168"/>
    </row>
    <row r="29" spans="1:6" ht="13.2">
      <c r="A29" s="177" t="s">
        <v>547</v>
      </c>
      <c r="B29" s="166">
        <f>'Actif '!H34</f>
        <v>123579.52</v>
      </c>
      <c r="C29" s="256"/>
      <c r="D29" s="6"/>
      <c r="E29" s="391"/>
      <c r="F29" s="168"/>
    </row>
    <row r="30" spans="1:6" ht="13.2">
      <c r="A30" s="177" t="s">
        <v>549</v>
      </c>
      <c r="B30" s="166">
        <f>'Actif '!H36</f>
        <v>13547.52</v>
      </c>
      <c r="C30" s="256"/>
      <c r="D30" s="168"/>
      <c r="E30" s="168"/>
      <c r="F30" s="168"/>
    </row>
    <row r="31" spans="1:6" ht="13.2">
      <c r="A31" s="177" t="s">
        <v>551</v>
      </c>
      <c r="B31" s="166">
        <f>'Passif '!F30</f>
        <v>26216.32</v>
      </c>
      <c r="C31" s="256"/>
      <c r="D31" s="168"/>
      <c r="E31" s="168"/>
      <c r="F31" s="168"/>
    </row>
    <row r="32" spans="1:6" ht="13.2">
      <c r="A32" s="177" t="s">
        <v>553</v>
      </c>
      <c r="B32" s="166">
        <f>'Passif '!F31</f>
        <v>73346.974566480683</v>
      </c>
      <c r="C32" s="256"/>
      <c r="D32" s="168"/>
      <c r="E32" s="168"/>
      <c r="F32" s="168"/>
    </row>
    <row r="33" spans="1:6" ht="13.2">
      <c r="A33" s="177" t="s">
        <v>555</v>
      </c>
      <c r="B33" s="166">
        <f>'Passif '!F32</f>
        <v>21200</v>
      </c>
      <c r="C33" s="256"/>
      <c r="D33" s="168"/>
      <c r="E33" s="168"/>
      <c r="F33" s="168"/>
    </row>
    <row r="34" spans="1:6" ht="13.2">
      <c r="A34" s="177" t="s">
        <v>557</v>
      </c>
      <c r="B34" s="166">
        <f>TVA!Z10</f>
        <v>15680</v>
      </c>
      <c r="C34" s="256"/>
      <c r="D34" s="168"/>
      <c r="E34" s="168"/>
      <c r="F34" s="168"/>
    </row>
    <row r="35" spans="1:6" ht="13.2">
      <c r="A35" s="35" t="s">
        <v>566</v>
      </c>
      <c r="B35" s="260">
        <f>(((((B28+B29)+B30)-B31)-B32)-B33)-B34</f>
        <v>36918.562842678322</v>
      </c>
      <c r="C35" s="256"/>
      <c r="D35" s="168"/>
      <c r="E35" s="168"/>
      <c r="F35" s="168"/>
    </row>
    <row r="36" spans="1:6" ht="13.5" customHeight="1">
      <c r="A36" s="312" t="s">
        <v>561</v>
      </c>
      <c r="B36" s="92">
        <f>B26-B35</f>
        <v>352849.56767059583</v>
      </c>
      <c r="C36" s="256"/>
      <c r="D36" s="168"/>
      <c r="E36" s="168"/>
      <c r="F36" s="168"/>
    </row>
  </sheetData>
  <mergeCells count="4">
    <mergeCell ref="A1:B1"/>
    <mergeCell ref="D1:E1"/>
    <mergeCell ref="A19:B19"/>
    <mergeCell ref="D21:E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F38" sqref="F38"/>
    </sheetView>
  </sheetViews>
  <sheetFormatPr baseColWidth="10" defaultColWidth="10.6640625" defaultRowHeight="12.75" customHeight="1"/>
  <cols>
    <col min="1" max="1" width="25.88671875" customWidth="1"/>
    <col min="2" max="2" width="8.6640625" customWidth="1"/>
    <col min="3" max="3" width="32.6640625" customWidth="1"/>
    <col min="4" max="4" width="8.6640625" customWidth="1"/>
  </cols>
  <sheetData>
    <row r="1" spans="1:6" ht="12.75" customHeight="1">
      <c r="A1" s="457" t="s">
        <v>567</v>
      </c>
      <c r="B1" s="457"/>
      <c r="C1" s="457" t="s">
        <v>568</v>
      </c>
      <c r="D1" s="457"/>
      <c r="E1" s="5"/>
      <c r="F1" s="168"/>
    </row>
    <row r="2" spans="1:6" ht="12.75" customHeight="1">
      <c r="A2" s="334"/>
      <c r="B2" s="334" t="s">
        <v>56</v>
      </c>
      <c r="C2" s="124"/>
      <c r="D2" s="334" t="s">
        <v>56</v>
      </c>
      <c r="E2" s="31"/>
      <c r="F2" s="168"/>
    </row>
    <row r="3" spans="1:6" ht="12.75" customHeight="1">
      <c r="A3" s="276" t="s">
        <v>493</v>
      </c>
      <c r="B3" s="257"/>
      <c r="C3" s="276" t="s">
        <v>534</v>
      </c>
      <c r="D3" s="257">
        <f>'Trésorerie '!B37</f>
        <v>50000</v>
      </c>
      <c r="E3" s="168"/>
      <c r="F3" s="168"/>
    </row>
    <row r="4" spans="1:6" ht="12.75" customHeight="1">
      <c r="A4" s="276" t="s">
        <v>569</v>
      </c>
      <c r="B4" s="257"/>
      <c r="C4" s="276" t="s">
        <v>570</v>
      </c>
      <c r="D4" s="276"/>
      <c r="E4" s="168"/>
      <c r="F4" s="168"/>
    </row>
    <row r="5" spans="1:6" ht="12.75" customHeight="1">
      <c r="A5" s="276" t="s">
        <v>571</v>
      </c>
      <c r="B5" s="257"/>
      <c r="C5" s="276" t="s">
        <v>572</v>
      </c>
      <c r="D5" s="276"/>
      <c r="E5" s="168"/>
      <c r="F5" s="168"/>
    </row>
    <row r="6" spans="1:6" ht="12.75" customHeight="1">
      <c r="A6" s="276"/>
      <c r="B6" s="276"/>
      <c r="C6" s="276" t="s">
        <v>573</v>
      </c>
      <c r="D6" s="13"/>
      <c r="E6" s="168"/>
      <c r="F6" s="168"/>
    </row>
    <row r="7" spans="1:6" ht="12.75" customHeight="1">
      <c r="A7" s="276"/>
      <c r="B7" s="276"/>
      <c r="C7" s="276"/>
      <c r="D7" s="276"/>
      <c r="E7" s="168"/>
      <c r="F7" s="168"/>
    </row>
    <row r="8" spans="1:6" ht="12.75" customHeight="1">
      <c r="A8" s="6" t="s">
        <v>574</v>
      </c>
      <c r="B8" s="20"/>
      <c r="C8" s="6" t="s">
        <v>575</v>
      </c>
      <c r="D8" s="20"/>
      <c r="E8" s="168"/>
      <c r="F8" s="168"/>
    </row>
    <row r="9" spans="1:6" ht="12.75" customHeight="1">
      <c r="A9" s="168"/>
      <c r="B9" s="168"/>
      <c r="C9" s="168"/>
      <c r="D9" s="168"/>
      <c r="E9" s="168"/>
      <c r="F9" s="168"/>
    </row>
    <row r="10" spans="1:6" ht="12.75" customHeight="1">
      <c r="A10" s="168"/>
      <c r="B10" s="168"/>
      <c r="C10" s="168"/>
      <c r="D10" s="168"/>
      <c r="E10" s="168"/>
      <c r="F10" s="168"/>
    </row>
    <row r="11" spans="1:6" ht="12.75" customHeight="1">
      <c r="A11" s="168"/>
      <c r="B11" s="168"/>
      <c r="C11" s="168"/>
      <c r="D11" s="168"/>
      <c r="E11" s="168"/>
      <c r="F11" s="168"/>
    </row>
    <row r="12" spans="1:6" ht="12.75" customHeight="1">
      <c r="A12" s="168"/>
      <c r="B12" s="168"/>
      <c r="C12" s="168"/>
      <c r="D12" s="168"/>
      <c r="E12" s="168"/>
      <c r="F12" s="168"/>
    </row>
    <row r="13" spans="1:6" ht="12.75" customHeight="1">
      <c r="A13" s="168"/>
      <c r="B13" s="168"/>
      <c r="C13" s="168"/>
      <c r="D13" s="168"/>
      <c r="E13" s="168"/>
      <c r="F13" s="168"/>
    </row>
    <row r="14" spans="1:6" ht="12.75" customHeight="1">
      <c r="A14" s="168"/>
      <c r="B14" s="168"/>
      <c r="C14" s="168"/>
      <c r="D14" s="168"/>
      <c r="E14" s="168"/>
      <c r="F14" s="168"/>
    </row>
    <row r="15" spans="1:6" ht="12.75" customHeight="1">
      <c r="A15" s="168"/>
      <c r="B15" s="168"/>
      <c r="C15" s="168"/>
      <c r="D15" s="168"/>
      <c r="E15" s="168"/>
      <c r="F15" s="168"/>
    </row>
    <row r="16" spans="1:6" ht="12.75" customHeight="1">
      <c r="A16" s="168"/>
      <c r="B16" s="168"/>
      <c r="C16" s="168"/>
      <c r="D16" s="168"/>
      <c r="E16" s="168"/>
      <c r="F16" s="168"/>
    </row>
    <row r="17" spans="1:6" ht="12.75" customHeight="1">
      <c r="A17" s="168"/>
      <c r="B17" s="168"/>
      <c r="C17" s="168"/>
      <c r="D17" s="168"/>
      <c r="E17" s="168"/>
      <c r="F17" s="168"/>
    </row>
    <row r="18" spans="1:6" ht="12.75" customHeight="1">
      <c r="A18" s="168"/>
      <c r="B18" s="168"/>
      <c r="C18" s="168"/>
      <c r="D18" s="168"/>
      <c r="E18" s="168"/>
      <c r="F18" s="168"/>
    </row>
    <row r="19" spans="1:6" ht="12.75" customHeight="1">
      <c r="A19" s="168"/>
      <c r="B19" s="168"/>
      <c r="C19" s="168"/>
      <c r="D19" s="168"/>
      <c r="E19" s="168"/>
      <c r="F19" s="168"/>
    </row>
    <row r="20" spans="1:6" ht="12.75" customHeight="1">
      <c r="A20" s="168"/>
      <c r="B20" s="168"/>
      <c r="C20" s="168"/>
      <c r="D20" s="168"/>
      <c r="E20" s="168"/>
      <c r="F20" s="168"/>
    </row>
  </sheetData>
  <mergeCells count="2">
    <mergeCell ref="A1:B1"/>
    <mergeCell ref="C1:D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24"/>
  <sheetViews>
    <sheetView topLeftCell="A2" workbookViewId="0">
      <selection activeCell="J24" sqref="J24"/>
    </sheetView>
  </sheetViews>
  <sheetFormatPr baseColWidth="10" defaultColWidth="10.6640625" defaultRowHeight="12.75" customHeight="1"/>
  <cols>
    <col min="1" max="1" width="3" customWidth="1"/>
    <col min="2" max="2" width="54.109375" customWidth="1"/>
    <col min="3" max="3" width="10.33203125" customWidth="1"/>
    <col min="4" max="4" width="10.44140625" customWidth="1"/>
  </cols>
  <sheetData>
    <row r="1" spans="1:6" ht="13.5" customHeight="1">
      <c r="A1" s="31">
        <v>1</v>
      </c>
      <c r="B1" s="157" t="s">
        <v>152</v>
      </c>
      <c r="C1" s="157" t="s">
        <v>153</v>
      </c>
      <c r="D1" s="157" t="s">
        <v>93</v>
      </c>
      <c r="E1" s="168"/>
      <c r="F1" s="168"/>
    </row>
    <row r="2" spans="1:6" ht="13.2">
      <c r="A2" s="318">
        <v>2</v>
      </c>
      <c r="B2" s="464" t="s">
        <v>576</v>
      </c>
      <c r="C2" s="460"/>
      <c r="D2" s="460"/>
      <c r="E2" s="89"/>
      <c r="F2" s="168"/>
    </row>
    <row r="3" spans="1:6" ht="51" customHeight="1">
      <c r="A3" s="318">
        <v>3</v>
      </c>
      <c r="B3" s="338"/>
      <c r="C3" s="106" t="s">
        <v>577</v>
      </c>
      <c r="D3" s="182" t="s">
        <v>578</v>
      </c>
      <c r="E3" s="256"/>
      <c r="F3" s="168"/>
    </row>
    <row r="4" spans="1:6" ht="13.2">
      <c r="A4" s="318">
        <v>4</v>
      </c>
      <c r="B4" s="378" t="s">
        <v>579</v>
      </c>
      <c r="C4" s="164">
        <f>'Actif '!E51</f>
        <v>299294.02835904155</v>
      </c>
      <c r="D4" s="164">
        <f>'Actif '!H51</f>
        <v>511793.01974049432</v>
      </c>
      <c r="E4" s="256"/>
      <c r="F4" s="168"/>
    </row>
    <row r="5" spans="1:6" ht="13.2">
      <c r="A5" s="318">
        <v>5</v>
      </c>
      <c r="B5" s="378" t="s">
        <v>580</v>
      </c>
      <c r="C5" s="164">
        <f>'Passif '!D17</f>
        <v>134604.8378766762</v>
      </c>
      <c r="D5" s="164">
        <f>'Passif '!F17</f>
        <v>281320.79330263688</v>
      </c>
      <c r="E5" s="256"/>
      <c r="F5" s="168"/>
    </row>
    <row r="6" spans="1:6" ht="13.2">
      <c r="A6" s="318">
        <v>6</v>
      </c>
      <c r="B6" s="378" t="s">
        <v>581</v>
      </c>
      <c r="C6" s="164">
        <f>C4-C5</f>
        <v>164689.19048236535</v>
      </c>
      <c r="D6" s="164">
        <f>D4-D5</f>
        <v>230472.22643785743</v>
      </c>
      <c r="E6" s="256"/>
      <c r="F6" s="168"/>
    </row>
    <row r="7" spans="1:6" ht="13.2">
      <c r="A7" s="318">
        <v>7</v>
      </c>
      <c r="B7" s="378" t="s">
        <v>582</v>
      </c>
      <c r="C7" s="164"/>
      <c r="D7" s="260"/>
      <c r="E7" s="256"/>
      <c r="F7" s="168"/>
    </row>
    <row r="8" spans="1:6" ht="13.2">
      <c r="A8" s="318">
        <v>8</v>
      </c>
      <c r="B8" s="227" t="s">
        <v>583</v>
      </c>
      <c r="C8" s="147">
        <f>'Charges '!C58</f>
        <v>7283.7875921792784</v>
      </c>
      <c r="D8" s="147">
        <f>'Charges '!D58</f>
        <v>2452.6096389398072</v>
      </c>
      <c r="E8" s="256"/>
      <c r="F8" s="168"/>
    </row>
    <row r="9" spans="1:6" ht="13.2">
      <c r="A9" s="318">
        <v>9</v>
      </c>
      <c r="B9" s="363" t="s">
        <v>584</v>
      </c>
      <c r="C9" s="147">
        <f>'Charges '!C54</f>
        <v>3910.9321446057802</v>
      </c>
      <c r="D9" s="147">
        <f>'Charges '!D54</f>
        <v>2452.6096389398072</v>
      </c>
      <c r="E9" s="256"/>
      <c r="F9" s="168"/>
    </row>
    <row r="10" spans="1:6" ht="13.2">
      <c r="A10" s="318">
        <v>10</v>
      </c>
      <c r="B10" s="363" t="s">
        <v>33</v>
      </c>
      <c r="C10" s="147">
        <f>'Charges '!C55</f>
        <v>3372.8554475734982</v>
      </c>
      <c r="D10" s="147">
        <f>'Charges '!D55</f>
        <v>0</v>
      </c>
      <c r="E10" s="256"/>
      <c r="F10" s="168"/>
    </row>
    <row r="11" spans="1:6" ht="13.2">
      <c r="A11" s="318">
        <v>11</v>
      </c>
      <c r="B11" s="227" t="s">
        <v>585</v>
      </c>
      <c r="C11" s="45">
        <f>C8/C6</f>
        <v>4.4227478262814188E-2</v>
      </c>
      <c r="D11" s="45">
        <f>D8/D6</f>
        <v>1.0641671132556652E-2</v>
      </c>
      <c r="E11" s="256"/>
      <c r="F11" s="168"/>
    </row>
    <row r="12" spans="1:6" ht="13.2">
      <c r="A12" s="318">
        <v>12</v>
      </c>
      <c r="B12" s="227" t="s">
        <v>586</v>
      </c>
      <c r="C12" s="147">
        <f>'Produits '!C36-'Charges '!C49</f>
        <v>134184.6993616051</v>
      </c>
      <c r="D12" s="147">
        <f>'Produits '!D36-'Charges '!D49</f>
        <v>222515.53963138117</v>
      </c>
      <c r="E12" s="256"/>
      <c r="F12" s="168"/>
    </row>
    <row r="13" spans="1:6" ht="13.2">
      <c r="A13" s="318">
        <v>13</v>
      </c>
      <c r="B13" s="227" t="s">
        <v>587</v>
      </c>
      <c r="C13" s="45">
        <f>C12/C4</f>
        <v>0.44833737611574848</v>
      </c>
      <c r="D13" s="45">
        <f>D12/D4</f>
        <v>0.43477642532953675</v>
      </c>
      <c r="E13" s="256"/>
      <c r="F13" s="168"/>
    </row>
    <row r="14" spans="1:6" ht="13.2">
      <c r="A14" s="318">
        <v>14</v>
      </c>
      <c r="B14" s="227" t="s">
        <v>588</v>
      </c>
      <c r="C14" s="147">
        <f>C12-C8</f>
        <v>126900.91176942583</v>
      </c>
      <c r="D14" s="147">
        <f>D12-D8</f>
        <v>220062.92999244135</v>
      </c>
      <c r="E14" s="256"/>
      <c r="F14" s="168"/>
    </row>
    <row r="15" spans="1:6" ht="13.2">
      <c r="A15" s="318">
        <v>15</v>
      </c>
      <c r="B15" s="227" t="s">
        <v>589</v>
      </c>
      <c r="C15" s="45">
        <f>0.3333</f>
        <v>0.33329999999999999</v>
      </c>
      <c r="D15" s="45">
        <f>0.3333</f>
        <v>0.33329999999999999</v>
      </c>
      <c r="E15" s="256"/>
      <c r="F15" s="168"/>
    </row>
    <row r="16" spans="1:6" ht="13.2">
      <c r="A16" s="318">
        <v>16</v>
      </c>
      <c r="B16" s="378" t="s">
        <v>590</v>
      </c>
      <c r="C16" s="164">
        <f>(1-C15)*C14</f>
        <v>84604.837876676203</v>
      </c>
      <c r="D16" s="164">
        <f>(1-D15)*D14</f>
        <v>146715.95542596065</v>
      </c>
      <c r="E16" s="256"/>
      <c r="F16" s="168"/>
    </row>
    <row r="17" spans="1:6" ht="13.2">
      <c r="A17" s="318">
        <v>17</v>
      </c>
      <c r="B17" s="378" t="s">
        <v>591</v>
      </c>
      <c r="C17" s="221">
        <f>C16/C5</f>
        <v>0.62854232590206327</v>
      </c>
      <c r="D17" s="221">
        <f>D16/D5</f>
        <v>0.52152545748059165</v>
      </c>
      <c r="E17" s="256"/>
      <c r="F17" s="168"/>
    </row>
    <row r="18" spans="1:6" ht="13.2">
      <c r="A18" s="318">
        <v>18</v>
      </c>
      <c r="B18" s="190"/>
      <c r="C18" s="147"/>
      <c r="D18" s="52"/>
      <c r="E18" s="256"/>
      <c r="F18" s="168"/>
    </row>
    <row r="19" spans="1:6" ht="13.2">
      <c r="A19" s="318">
        <v>19</v>
      </c>
      <c r="B19" s="227" t="s">
        <v>592</v>
      </c>
      <c r="C19" s="45">
        <f>100%</f>
        <v>1</v>
      </c>
      <c r="D19" s="45">
        <f>100%</f>
        <v>1</v>
      </c>
      <c r="E19" s="256"/>
      <c r="F19" s="168"/>
    </row>
    <row r="20" spans="1:6" ht="13.2">
      <c r="A20" s="318">
        <v>20</v>
      </c>
      <c r="B20" s="378" t="s">
        <v>593</v>
      </c>
      <c r="C20" s="221">
        <f>C19*C17</f>
        <v>0.62854232590206327</v>
      </c>
      <c r="D20" s="221">
        <f>D19*D17</f>
        <v>0.52152545748059165</v>
      </c>
      <c r="E20" s="256"/>
      <c r="F20" s="168"/>
    </row>
    <row r="21" spans="1:6" ht="13.2">
      <c r="A21" s="318">
        <v>21</v>
      </c>
      <c r="B21" s="378" t="s">
        <v>594</v>
      </c>
      <c r="C21" s="221">
        <f>(1-C19)*C17</f>
        <v>0</v>
      </c>
      <c r="D21" s="221">
        <f>(1-D19)*D17</f>
        <v>0</v>
      </c>
      <c r="E21" s="256"/>
      <c r="F21" s="168"/>
    </row>
    <row r="22" spans="1:6" ht="13.2">
      <c r="A22" s="318">
        <v>22</v>
      </c>
      <c r="B22" s="378" t="s">
        <v>595</v>
      </c>
      <c r="C22" s="221">
        <f>C19*(1-C15)*C13</f>
        <v>0.29890652865636952</v>
      </c>
      <c r="D22" s="221">
        <f>D19*(1-D15)*D13</f>
        <v>0.28986544276720216</v>
      </c>
      <c r="E22" s="256"/>
      <c r="F22" s="168"/>
    </row>
    <row r="23" spans="1:6" ht="13.5" customHeight="1">
      <c r="A23" s="318">
        <v>23</v>
      </c>
      <c r="B23" s="184" t="s">
        <v>596</v>
      </c>
      <c r="C23" s="221">
        <f>C19*(1-C15)*((C6/C5)*(C13-C11))</f>
        <v>0.32963579724569375</v>
      </c>
      <c r="D23" s="221">
        <f>D19*(1-D15)*((D6/D5)*(D13-D11))</f>
        <v>0.23166001471338948</v>
      </c>
      <c r="E23" s="256"/>
      <c r="F23" s="168"/>
    </row>
    <row r="24" spans="1:6" ht="13.2">
      <c r="A24" s="168"/>
      <c r="B24" s="82"/>
      <c r="C24" s="236"/>
      <c r="D24" s="402"/>
      <c r="E24" s="168"/>
      <c r="F24" s="168"/>
    </row>
  </sheetData>
  <mergeCells count="1">
    <mergeCell ref="B2:D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J26" sqref="J26"/>
    </sheetView>
  </sheetViews>
  <sheetFormatPr baseColWidth="10" defaultColWidth="10.6640625" defaultRowHeight="12.75" customHeight="1"/>
  <cols>
    <col min="1" max="1" width="25.44140625" customWidth="1"/>
    <col min="4" max="4" width="13.33203125" customWidth="1"/>
    <col min="5" max="5" width="37.6640625" customWidth="1"/>
  </cols>
  <sheetData>
    <row r="1" spans="1:7" ht="13.5" customHeight="1">
      <c r="A1" s="228"/>
      <c r="B1" s="41"/>
      <c r="C1" s="41"/>
      <c r="D1" s="41"/>
      <c r="E1" s="41"/>
      <c r="F1" s="41"/>
      <c r="G1" s="41"/>
    </row>
    <row r="2" spans="1:7" ht="13.5" customHeight="1">
      <c r="A2" s="488" t="s">
        <v>597</v>
      </c>
      <c r="B2" s="489"/>
      <c r="C2" s="489"/>
      <c r="D2" s="489"/>
      <c r="E2" s="489" t="s">
        <v>598</v>
      </c>
      <c r="F2" s="489"/>
      <c r="G2" s="489"/>
    </row>
    <row r="3" spans="1:7" ht="13.2">
      <c r="A3" s="464" t="s">
        <v>599</v>
      </c>
      <c r="B3" s="460"/>
      <c r="C3" s="460"/>
      <c r="D3" s="460"/>
      <c r="E3" s="460" t="s">
        <v>600</v>
      </c>
      <c r="F3" s="460"/>
      <c r="G3" s="460"/>
    </row>
    <row r="4" spans="1:7" ht="13.2">
      <c r="A4" s="190"/>
      <c r="B4" s="414" t="s">
        <v>601</v>
      </c>
      <c r="C4" s="414" t="s">
        <v>602</v>
      </c>
      <c r="D4" s="448" t="s">
        <v>707</v>
      </c>
      <c r="E4" s="190"/>
      <c r="F4" s="414" t="s">
        <v>601</v>
      </c>
      <c r="G4" s="364" t="s">
        <v>602</v>
      </c>
    </row>
    <row r="5" spans="1:7" ht="13.2">
      <c r="A5" s="190" t="s">
        <v>604</v>
      </c>
      <c r="B5" s="375">
        <v>720000</v>
      </c>
      <c r="C5" s="375">
        <v>720000</v>
      </c>
      <c r="D5" s="446">
        <v>0</v>
      </c>
      <c r="E5" s="388" t="s">
        <v>534</v>
      </c>
      <c r="F5" s="375">
        <v>50000</v>
      </c>
      <c r="G5" s="8">
        <v>50000</v>
      </c>
    </row>
    <row r="6" spans="1:7" ht="13.2">
      <c r="A6" s="190" t="s">
        <v>605</v>
      </c>
      <c r="B6" s="375">
        <v>18251.53269493844</v>
      </c>
      <c r="C6" s="210">
        <v>16913.134747047312</v>
      </c>
      <c r="D6" s="446">
        <v>-1338.3979478911278</v>
      </c>
      <c r="E6" s="388" t="s">
        <v>606</v>
      </c>
      <c r="F6" s="375">
        <v>84604.84</v>
      </c>
      <c r="G6" s="8">
        <v>84604.838333719774</v>
      </c>
    </row>
    <row r="7" spans="1:7" ht="13.2">
      <c r="A7" s="338" t="s">
        <v>607</v>
      </c>
      <c r="B7" s="332">
        <v>738251.53269493848</v>
      </c>
      <c r="C7" s="332">
        <v>736913.13474704733</v>
      </c>
      <c r="D7" s="357">
        <v>-1338.3979478911278</v>
      </c>
      <c r="E7" s="447" t="s">
        <v>608</v>
      </c>
      <c r="F7" s="445">
        <v>134604.84</v>
      </c>
      <c r="G7" s="8">
        <v>134604.83833371976</v>
      </c>
    </row>
    <row r="8" spans="1:7" ht="13.2">
      <c r="A8" s="490" t="s">
        <v>609</v>
      </c>
      <c r="B8" s="467"/>
      <c r="C8" s="467"/>
      <c r="D8" s="467"/>
      <c r="E8" s="375"/>
      <c r="F8" s="375"/>
      <c r="G8" s="8"/>
    </row>
    <row r="9" spans="1:7" ht="13.2">
      <c r="A9" s="190"/>
      <c r="B9" s="414" t="s">
        <v>601</v>
      </c>
      <c r="C9" s="414" t="s">
        <v>602</v>
      </c>
      <c r="D9" s="364" t="s">
        <v>603</v>
      </c>
      <c r="E9" s="200" t="s">
        <v>610</v>
      </c>
      <c r="F9" s="375">
        <v>44826.796589615726</v>
      </c>
      <c r="G9" s="8">
        <v>44826.796589615726</v>
      </c>
    </row>
    <row r="10" spans="1:7" ht="13.2">
      <c r="A10" s="190" t="s">
        <v>611</v>
      </c>
      <c r="B10" s="375">
        <v>49340</v>
      </c>
      <c r="C10" s="19">
        <v>52932.824000000001</v>
      </c>
      <c r="D10" s="8">
        <v>3592.8240000000005</v>
      </c>
      <c r="E10" s="388" t="s">
        <v>612</v>
      </c>
      <c r="F10" s="375">
        <v>26216.32</v>
      </c>
      <c r="G10" s="365">
        <v>19518.719999999998</v>
      </c>
    </row>
    <row r="11" spans="1:7" ht="13.2">
      <c r="A11" s="190" t="s">
        <v>272</v>
      </c>
      <c r="B11" s="375">
        <v>131520</v>
      </c>
      <c r="C11" s="19">
        <v>97920</v>
      </c>
      <c r="D11" s="8">
        <v>-33600</v>
      </c>
      <c r="E11" s="388" t="s">
        <v>613</v>
      </c>
      <c r="F11" s="375">
        <v>42296.073892749635</v>
      </c>
      <c r="G11" s="8">
        <v>42296.074121237136</v>
      </c>
    </row>
    <row r="12" spans="1:7" ht="13.2">
      <c r="A12" s="190" t="s">
        <v>614</v>
      </c>
      <c r="B12" s="375">
        <v>246700</v>
      </c>
      <c r="C12" s="19">
        <v>264664.12</v>
      </c>
      <c r="D12" s="8">
        <v>17964.119999999995</v>
      </c>
      <c r="E12" s="388" t="s">
        <v>474</v>
      </c>
      <c r="F12" s="375">
        <v>12150</v>
      </c>
      <c r="G12" s="365">
        <v>13272.7575</v>
      </c>
    </row>
    <row r="13" spans="1:7" ht="13.2">
      <c r="A13" s="190" t="s">
        <v>243</v>
      </c>
      <c r="B13" s="375">
        <v>123350</v>
      </c>
      <c r="C13" s="19">
        <v>132332.06</v>
      </c>
      <c r="D13" s="8">
        <v>8982.0599999999977</v>
      </c>
      <c r="E13" s="388" t="s">
        <v>615</v>
      </c>
      <c r="F13" s="375">
        <v>39200</v>
      </c>
      <c r="G13" s="8">
        <v>39200</v>
      </c>
    </row>
    <row r="14" spans="1:7" ht="13.2">
      <c r="A14" s="190" t="s">
        <v>247</v>
      </c>
      <c r="B14" s="375">
        <v>19736</v>
      </c>
      <c r="C14" s="19">
        <v>21173.1296</v>
      </c>
      <c r="D14" s="8">
        <v>1437.1296000000002</v>
      </c>
      <c r="E14" s="388" t="s">
        <v>478</v>
      </c>
      <c r="F14" s="375">
        <v>0</v>
      </c>
      <c r="G14" s="8">
        <v>0</v>
      </c>
    </row>
    <row r="15" spans="1:7" ht="13.2">
      <c r="A15" s="190" t="s">
        <v>271</v>
      </c>
      <c r="B15" s="375">
        <v>12000</v>
      </c>
      <c r="C15" s="161">
        <v>12000</v>
      </c>
      <c r="D15" s="8">
        <v>0</v>
      </c>
      <c r="E15" s="1" t="s">
        <v>39</v>
      </c>
      <c r="F15" s="332">
        <v>299294.0304823654</v>
      </c>
      <c r="G15" s="72">
        <v>293719.18654457259</v>
      </c>
    </row>
    <row r="16" spans="1:7" ht="13.2">
      <c r="A16" s="190" t="s">
        <v>616</v>
      </c>
      <c r="B16" s="375">
        <v>21420.833333333336</v>
      </c>
      <c r="C16" s="19">
        <v>21420.833333333336</v>
      </c>
      <c r="D16" s="8">
        <v>0</v>
      </c>
      <c r="E16" s="486" t="s">
        <v>617</v>
      </c>
      <c r="F16" s="487"/>
      <c r="G16" s="487"/>
    </row>
    <row r="17" spans="1:7" ht="13.2">
      <c r="A17" s="190" t="s">
        <v>618</v>
      </c>
      <c r="B17" s="375">
        <v>3372.8554475734982</v>
      </c>
      <c r="C17" s="19">
        <v>3658.3232141512726</v>
      </c>
      <c r="D17" s="8">
        <v>285.46776657777446</v>
      </c>
      <c r="E17" s="388" t="s">
        <v>619</v>
      </c>
      <c r="F17" s="375">
        <v>59679.166666666664</v>
      </c>
      <c r="G17" s="365">
        <v>59679.166666666664</v>
      </c>
    </row>
    <row r="18" spans="1:7" ht="13.2">
      <c r="A18" s="190" t="s">
        <v>620</v>
      </c>
      <c r="B18" s="375">
        <v>3910.9321446057802</v>
      </c>
      <c r="C18" s="161">
        <v>3910.9321446057802</v>
      </c>
      <c r="D18" s="8">
        <v>0</v>
      </c>
      <c r="E18" s="388" t="s">
        <v>621</v>
      </c>
      <c r="F18" s="375">
        <v>18251.53269493844</v>
      </c>
      <c r="G18" s="365">
        <v>16913.134747047312</v>
      </c>
    </row>
    <row r="19" spans="1:7" ht="13.2">
      <c r="A19" s="338" t="s">
        <v>23</v>
      </c>
      <c r="B19" s="445">
        <v>611350.62092551263</v>
      </c>
      <c r="C19" s="332">
        <v>610012.22229209042</v>
      </c>
      <c r="D19" s="8">
        <v>-1338.3986334222318</v>
      </c>
      <c r="E19" s="388" t="s">
        <v>622</v>
      </c>
      <c r="F19" s="375">
        <v>119600</v>
      </c>
      <c r="G19" s="8">
        <v>119600</v>
      </c>
    </row>
    <row r="20" spans="1:7" ht="13.2">
      <c r="A20" s="190"/>
      <c r="B20" s="244"/>
      <c r="C20" s="244"/>
      <c r="D20" s="8"/>
      <c r="E20" s="388" t="s">
        <v>623</v>
      </c>
      <c r="F20" s="375">
        <v>5248.88</v>
      </c>
      <c r="G20" s="365">
        <v>4239.3041880000001</v>
      </c>
    </row>
    <row r="21" spans="1:7" ht="13.2">
      <c r="A21" s="190" t="s">
        <v>440</v>
      </c>
      <c r="B21" s="332">
        <v>126900.91176942585</v>
      </c>
      <c r="C21" s="332">
        <v>126900.91245495691</v>
      </c>
      <c r="D21" s="8">
        <v>6.8553106393665075E-4</v>
      </c>
      <c r="E21" s="388" t="s">
        <v>624</v>
      </c>
      <c r="F21" s="375">
        <v>96514.448997436455</v>
      </c>
      <c r="G21" s="365">
        <v>93287.580942858767</v>
      </c>
    </row>
    <row r="22" spans="1:7" ht="13.5" customHeight="1">
      <c r="A22" s="403"/>
      <c r="B22" s="275"/>
      <c r="C22" s="275"/>
      <c r="D22" s="299"/>
      <c r="E22" s="286" t="s">
        <v>41</v>
      </c>
      <c r="F22" s="362">
        <v>299294.02835904155</v>
      </c>
      <c r="G22" s="91">
        <v>293719.18654457276</v>
      </c>
    </row>
    <row r="23" spans="1:7" ht="13.2">
      <c r="A23" s="402"/>
      <c r="B23" s="402"/>
      <c r="C23" s="402"/>
      <c r="D23" s="402"/>
      <c r="E23" s="402"/>
      <c r="F23" s="402"/>
      <c r="G23" s="402"/>
    </row>
    <row r="24" spans="1:7" ht="13.2">
      <c r="A24" s="5"/>
      <c r="B24" s="168"/>
      <c r="C24" s="168"/>
      <c r="D24" s="168"/>
      <c r="E24" s="168"/>
      <c r="F24" s="168"/>
      <c r="G24" s="168"/>
    </row>
    <row r="25" spans="1:7" ht="13.2">
      <c r="A25" s="168"/>
      <c r="B25" s="168"/>
      <c r="C25" s="168"/>
      <c r="D25" s="168"/>
      <c r="E25" s="168"/>
      <c r="F25" s="168"/>
      <c r="G25" s="168"/>
    </row>
    <row r="26" spans="1:7" ht="13.2">
      <c r="A26" s="168"/>
      <c r="B26" s="168"/>
      <c r="C26" s="168"/>
      <c r="D26" s="168"/>
      <c r="E26" s="168"/>
      <c r="F26" s="168"/>
      <c r="G26" s="168"/>
    </row>
    <row r="27" spans="1:7" ht="13.2">
      <c r="A27" s="168"/>
      <c r="B27" s="168"/>
      <c r="C27" s="168"/>
      <c r="D27" s="168"/>
      <c r="E27" s="168"/>
      <c r="F27" s="168"/>
      <c r="G27" s="168"/>
    </row>
    <row r="28" spans="1:7" ht="13.2">
      <c r="A28" s="168"/>
      <c r="B28" s="168"/>
      <c r="C28" s="168"/>
      <c r="D28" s="168"/>
      <c r="E28" s="168"/>
      <c r="F28" s="168"/>
      <c r="G28" s="168"/>
    </row>
    <row r="29" spans="1:7" ht="13.2">
      <c r="A29" s="168"/>
      <c r="B29" s="168"/>
      <c r="C29" s="168"/>
      <c r="D29" s="168"/>
      <c r="E29" s="168"/>
      <c r="F29" s="168"/>
      <c r="G29" s="168"/>
    </row>
    <row r="30" spans="1:7" ht="13.2">
      <c r="A30" s="168"/>
      <c r="B30" s="168"/>
      <c r="C30" s="5"/>
      <c r="D30" s="168"/>
      <c r="E30" s="168"/>
      <c r="F30" s="168"/>
      <c r="G30" s="168"/>
    </row>
    <row r="31" spans="1:7" ht="13.2">
      <c r="A31" s="168"/>
      <c r="B31" s="168"/>
      <c r="C31" s="168"/>
      <c r="D31" s="168"/>
      <c r="E31" s="168"/>
      <c r="F31" s="168"/>
      <c r="G31" s="168"/>
    </row>
    <row r="32" spans="1:7" ht="13.2">
      <c r="A32" s="168"/>
      <c r="B32" s="168"/>
      <c r="C32" s="168"/>
      <c r="D32" s="168"/>
      <c r="E32" s="168"/>
      <c r="F32" s="168"/>
      <c r="G32" s="168"/>
    </row>
    <row r="33" spans="1:7" ht="13.2">
      <c r="A33" s="168"/>
      <c r="B33" s="168"/>
      <c r="C33" s="168"/>
      <c r="D33" s="168"/>
      <c r="E33" s="168"/>
      <c r="F33" s="168"/>
      <c r="G33" s="168"/>
    </row>
    <row r="34" spans="1:7" ht="13.2">
      <c r="A34" s="168"/>
      <c r="B34" s="168"/>
      <c r="C34" s="168"/>
      <c r="D34" s="168"/>
      <c r="E34" s="168"/>
      <c r="F34" s="168"/>
      <c r="G34" s="168"/>
    </row>
    <row r="35" spans="1:7" ht="13.2">
      <c r="A35" s="168"/>
      <c r="B35" s="168"/>
      <c r="C35" s="168"/>
      <c r="D35" s="168"/>
      <c r="E35" s="168"/>
      <c r="F35" s="168"/>
      <c r="G35" s="168"/>
    </row>
    <row r="36" spans="1:7" ht="13.2">
      <c r="A36" s="168"/>
      <c r="B36" s="168"/>
      <c r="C36" s="168"/>
      <c r="D36" s="168"/>
      <c r="E36" s="168"/>
      <c r="F36" s="168"/>
      <c r="G36" s="168"/>
    </row>
  </sheetData>
  <mergeCells count="6">
    <mergeCell ref="E16:G16"/>
    <mergeCell ref="A2:D2"/>
    <mergeCell ref="E2:G2"/>
    <mergeCell ref="A3:D3"/>
    <mergeCell ref="E3:G3"/>
    <mergeCell ref="A8:D8"/>
  </mergeCells>
  <pageMargins left="0.7" right="0.7" top="0.75" bottom="0.75" header="0.3" footer="0.3"/>
  <pageSetup paperSize="9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D27" sqref="D27"/>
    </sheetView>
  </sheetViews>
  <sheetFormatPr baseColWidth="10" defaultColWidth="10.6640625" defaultRowHeight="12.75" customHeight="1"/>
  <cols>
    <col min="1" max="1" width="26.44140625" customWidth="1"/>
    <col min="2" max="3" width="9.109375" customWidth="1"/>
    <col min="4" max="4" width="11.88671875" customWidth="1"/>
    <col min="5" max="5" width="13.44140625" customWidth="1"/>
    <col min="7" max="7" width="20.44140625" customWidth="1"/>
  </cols>
  <sheetData>
    <row r="1" spans="1:7" ht="13.2">
      <c r="A1" s="464" t="s">
        <v>625</v>
      </c>
      <c r="B1" s="460"/>
      <c r="C1" s="460"/>
      <c r="D1" s="89"/>
      <c r="E1" s="168"/>
      <c r="F1" s="168"/>
      <c r="G1" s="168"/>
    </row>
    <row r="2" spans="1:7" ht="13.2">
      <c r="A2" s="190"/>
      <c r="B2" s="244"/>
      <c r="C2" s="357"/>
      <c r="D2" s="256"/>
      <c r="E2" s="168"/>
      <c r="F2" s="168"/>
      <c r="G2" s="168"/>
    </row>
    <row r="3" spans="1:7" ht="13.2">
      <c r="A3" s="190"/>
      <c r="B3" s="414" t="s">
        <v>601</v>
      </c>
      <c r="C3" s="364" t="s">
        <v>602</v>
      </c>
      <c r="D3" s="256"/>
      <c r="E3" s="168"/>
      <c r="F3" s="168"/>
      <c r="G3" s="168"/>
    </row>
    <row r="4" spans="1:7" ht="13.2">
      <c r="A4" s="190" t="s">
        <v>626</v>
      </c>
      <c r="B4" s="442">
        <f>'Personnel,salaires'!P6</f>
        <v>36000</v>
      </c>
      <c r="C4" s="443">
        <v>37468.080000000002</v>
      </c>
      <c r="D4" s="256"/>
      <c r="E4" s="168"/>
      <c r="F4" s="168"/>
      <c r="G4" s="168"/>
    </row>
    <row r="5" spans="1:7" ht="13.2">
      <c r="A5" s="190" t="s">
        <v>33</v>
      </c>
      <c r="B5" s="442"/>
      <c r="C5" s="443"/>
      <c r="D5" s="256"/>
      <c r="E5" s="168"/>
      <c r="F5" s="168"/>
      <c r="G5" s="168"/>
    </row>
    <row r="6" spans="1:7" ht="13.2">
      <c r="A6" s="190" t="s">
        <v>627</v>
      </c>
      <c r="B6" s="494"/>
      <c r="C6" s="494"/>
      <c r="D6" s="89"/>
      <c r="E6" s="168"/>
      <c r="F6" s="168"/>
      <c r="G6" s="168"/>
    </row>
    <row r="7" spans="1:7" ht="13.2">
      <c r="A7" s="190" t="s">
        <v>628</v>
      </c>
      <c r="B7" s="442">
        <f>(B4+B5)+B6</f>
        <v>36000</v>
      </c>
      <c r="C7" s="442">
        <f>(C4+C5)+C6</f>
        <v>37468.080000000002</v>
      </c>
      <c r="D7" s="256"/>
      <c r="E7" s="5"/>
      <c r="F7" s="168"/>
      <c r="G7" s="168"/>
    </row>
    <row r="8" spans="1:7" ht="13.2">
      <c r="A8" s="190" t="s">
        <v>629</v>
      </c>
      <c r="B8" s="442">
        <f>0.8*B7</f>
        <v>28800</v>
      </c>
      <c r="C8" s="442">
        <f>0.8*C7</f>
        <v>29974.464000000004</v>
      </c>
      <c r="D8" s="256"/>
      <c r="E8" s="168"/>
      <c r="F8" s="168"/>
      <c r="G8" s="168"/>
    </row>
    <row r="9" spans="1:7" ht="13.2">
      <c r="A9" s="338" t="s">
        <v>630</v>
      </c>
      <c r="B9" s="495"/>
      <c r="C9" s="495"/>
      <c r="D9" s="89"/>
      <c r="E9" s="168"/>
      <c r="F9" s="168"/>
      <c r="G9" s="168"/>
    </row>
    <row r="10" spans="1:7" ht="13.2">
      <c r="A10" s="190" t="s">
        <v>631</v>
      </c>
      <c r="B10" s="442">
        <f>0.9*B8</f>
        <v>25920</v>
      </c>
      <c r="C10" s="442">
        <f>0.9*C8</f>
        <v>26977.017600000003</v>
      </c>
      <c r="D10" s="256"/>
      <c r="E10" s="168"/>
      <c r="F10" s="168"/>
      <c r="G10" s="168"/>
    </row>
    <row r="11" spans="1:7" ht="13.5" customHeight="1">
      <c r="A11" s="338" t="s">
        <v>632</v>
      </c>
      <c r="B11" s="442"/>
      <c r="C11" s="443"/>
      <c r="D11" s="46"/>
      <c r="E11" s="41"/>
      <c r="F11" s="41"/>
      <c r="G11" s="41"/>
    </row>
    <row r="12" spans="1:7" ht="13.2">
      <c r="A12" s="190" t="s">
        <v>633</v>
      </c>
      <c r="B12" s="442">
        <v>3</v>
      </c>
      <c r="C12" s="443">
        <v>3</v>
      </c>
      <c r="D12" s="496" t="s">
        <v>634</v>
      </c>
      <c r="E12" s="497"/>
      <c r="F12" s="497"/>
      <c r="G12" s="498"/>
    </row>
    <row r="13" spans="1:7" ht="13.2">
      <c r="A13" s="190" t="s">
        <v>635</v>
      </c>
      <c r="B13" s="442">
        <f>B10/B12</f>
        <v>8640</v>
      </c>
      <c r="C13" s="442">
        <f>C10/C12</f>
        <v>8992.3392000000003</v>
      </c>
      <c r="D13" s="368">
        <v>0</v>
      </c>
      <c r="E13" s="144">
        <v>5687</v>
      </c>
      <c r="F13" s="371">
        <v>0</v>
      </c>
      <c r="G13" s="357"/>
    </row>
    <row r="14" spans="1:7" ht="13.2">
      <c r="A14" s="190" t="s">
        <v>636</v>
      </c>
      <c r="B14" s="444">
        <f>(B10*0.055)-(312.79*B12)</f>
        <v>487.22999999999979</v>
      </c>
      <c r="C14" s="444">
        <f>(C10*0.055)-(312.79*C12)</f>
        <v>545.36596800000007</v>
      </c>
      <c r="D14" s="368">
        <v>5687</v>
      </c>
      <c r="E14" s="144">
        <v>11344</v>
      </c>
      <c r="F14" s="371">
        <v>5.5E-2</v>
      </c>
      <c r="G14" s="357" t="s">
        <v>637</v>
      </c>
    </row>
    <row r="15" spans="1:7" ht="13.2">
      <c r="A15" s="338" t="s">
        <v>638</v>
      </c>
      <c r="B15" s="499">
        <f>C14-B14</f>
        <v>58.135968000000275</v>
      </c>
      <c r="C15" s="499"/>
      <c r="D15" s="144">
        <v>11344</v>
      </c>
      <c r="E15" s="144">
        <v>25195</v>
      </c>
      <c r="F15" s="371">
        <v>0.14000000000000001</v>
      </c>
      <c r="G15" s="357" t="s">
        <v>639</v>
      </c>
    </row>
    <row r="16" spans="1:7" ht="13.2">
      <c r="A16" s="190" t="s">
        <v>640</v>
      </c>
      <c r="B16" s="491">
        <f>(C14-B14)/(C8-B8)</f>
        <v>4.9500000000000086E-2</v>
      </c>
      <c r="C16" s="491"/>
      <c r="D16" s="144">
        <v>25195</v>
      </c>
      <c r="E16" s="144">
        <v>67546</v>
      </c>
      <c r="F16" s="371">
        <v>0.3</v>
      </c>
      <c r="G16" s="357" t="s">
        <v>641</v>
      </c>
    </row>
    <row r="17" spans="1:7" ht="13.5" customHeight="1">
      <c r="A17" s="331" t="s">
        <v>642</v>
      </c>
      <c r="B17" s="492">
        <f>C8-B8</f>
        <v>1174.4640000000036</v>
      </c>
      <c r="C17" s="492"/>
      <c r="D17" s="493" t="s">
        <v>643</v>
      </c>
      <c r="E17" s="493"/>
      <c r="F17" s="238">
        <v>0.4</v>
      </c>
      <c r="G17" s="299" t="s">
        <v>644</v>
      </c>
    </row>
    <row r="18" spans="1:7" ht="13.2">
      <c r="A18" s="402"/>
      <c r="B18" s="402"/>
      <c r="C18" s="402"/>
      <c r="D18" s="402"/>
      <c r="E18" s="402"/>
      <c r="F18" s="402"/>
      <c r="G18" s="402"/>
    </row>
    <row r="19" spans="1:7" ht="13.2">
      <c r="A19" s="168"/>
      <c r="B19" s="168"/>
      <c r="C19" s="168"/>
      <c r="D19" s="168"/>
      <c r="E19" s="168"/>
      <c r="F19" s="168"/>
      <c r="G19" s="168"/>
    </row>
    <row r="20" spans="1:7" ht="13.2">
      <c r="A20" s="168"/>
      <c r="B20" s="168"/>
      <c r="C20" s="168"/>
      <c r="D20" s="168"/>
      <c r="E20" s="168"/>
      <c r="F20" s="168"/>
      <c r="G20" s="168"/>
    </row>
  </sheetData>
  <mergeCells count="8">
    <mergeCell ref="B16:C16"/>
    <mergeCell ref="B17:C17"/>
    <mergeCell ref="D17:E17"/>
    <mergeCell ref="A1:C1"/>
    <mergeCell ref="B6:C6"/>
    <mergeCell ref="B9:C9"/>
    <mergeCell ref="D12:G12"/>
    <mergeCell ref="B15:C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sqref="A1:F1"/>
    </sheetView>
  </sheetViews>
  <sheetFormatPr baseColWidth="10" defaultColWidth="10.6640625" defaultRowHeight="12.75" customHeight="1"/>
  <cols>
    <col min="2" max="2" width="21.88671875" customWidth="1"/>
    <col min="3" max="3" width="14.44140625" customWidth="1"/>
    <col min="4" max="4" width="13.109375" customWidth="1"/>
    <col min="5" max="5" width="12.109375" customWidth="1"/>
    <col min="6" max="6" width="108.44140625" customWidth="1"/>
  </cols>
  <sheetData>
    <row r="1" spans="1:6" ht="15.75" customHeight="1">
      <c r="A1" s="500" t="s">
        <v>645</v>
      </c>
      <c r="B1" s="500"/>
      <c r="C1" s="500"/>
      <c r="D1" s="500"/>
      <c r="E1" s="500"/>
      <c r="F1" s="500"/>
    </row>
    <row r="2" spans="1:6" ht="15.75" customHeight="1">
      <c r="A2" s="131" t="s">
        <v>646</v>
      </c>
      <c r="B2" s="131" t="s">
        <v>647</v>
      </c>
      <c r="C2" s="5"/>
      <c r="D2" s="131" t="s">
        <v>577</v>
      </c>
      <c r="E2" s="131" t="s">
        <v>578</v>
      </c>
      <c r="F2" s="131" t="s">
        <v>648</v>
      </c>
    </row>
    <row r="3" spans="1:6" ht="15.75" customHeight="1">
      <c r="A3" s="372" t="s">
        <v>649</v>
      </c>
      <c r="B3" s="145" t="s">
        <v>650</v>
      </c>
      <c r="C3" s="372"/>
      <c r="D3" s="183"/>
      <c r="E3" s="183"/>
      <c r="F3" s="168"/>
    </row>
    <row r="4" spans="1:6" ht="15.75" customHeight="1">
      <c r="A4" s="372" t="s">
        <v>651</v>
      </c>
      <c r="B4" s="145" t="s">
        <v>272</v>
      </c>
      <c r="C4" s="372"/>
      <c r="D4" s="183"/>
      <c r="E4" s="183"/>
      <c r="F4" s="168"/>
    </row>
    <row r="5" spans="1:6" ht="15.75" customHeight="1">
      <c r="A5" s="372" t="s">
        <v>652</v>
      </c>
      <c r="B5" s="145" t="s">
        <v>653</v>
      </c>
      <c r="C5" s="372"/>
      <c r="D5" s="183"/>
      <c r="E5" s="183"/>
      <c r="F5" s="168" t="s">
        <v>654</v>
      </c>
    </row>
    <row r="6" spans="1:6" ht="15.75" customHeight="1">
      <c r="A6" s="372" t="s">
        <v>655</v>
      </c>
      <c r="B6" s="145" t="s">
        <v>656</v>
      </c>
      <c r="C6" s="372"/>
      <c r="D6" s="183"/>
      <c r="E6" s="183"/>
      <c r="F6" s="168"/>
    </row>
    <row r="7" spans="1:6" ht="15.75" customHeight="1">
      <c r="A7" s="372" t="s">
        <v>657</v>
      </c>
      <c r="B7" s="145" t="s">
        <v>614</v>
      </c>
      <c r="C7" s="168"/>
      <c r="D7" s="216"/>
      <c r="E7" s="216"/>
      <c r="F7" s="168"/>
    </row>
    <row r="8" spans="1:6" ht="15.75" customHeight="1">
      <c r="A8" s="372" t="s">
        <v>658</v>
      </c>
      <c r="B8" s="145" t="s">
        <v>659</v>
      </c>
      <c r="C8" s="168"/>
      <c r="D8" s="216"/>
      <c r="E8" s="216"/>
      <c r="F8" s="168"/>
    </row>
    <row r="9" spans="1:6" ht="15.75" customHeight="1">
      <c r="A9" s="372" t="s">
        <v>660</v>
      </c>
      <c r="B9" s="202" t="s">
        <v>661</v>
      </c>
      <c r="C9" s="168"/>
      <c r="D9" s="216"/>
      <c r="E9" s="216"/>
      <c r="F9" s="168" t="s">
        <v>662</v>
      </c>
    </row>
    <row r="10" spans="1:6" ht="15.75" customHeight="1">
      <c r="A10" s="372" t="s">
        <v>663</v>
      </c>
      <c r="B10" s="202" t="s">
        <v>664</v>
      </c>
      <c r="C10" s="168"/>
      <c r="D10" s="216"/>
      <c r="E10" s="216"/>
      <c r="F10" s="168"/>
    </row>
    <row r="11" spans="1:6" ht="15.75" customHeight="1">
      <c r="A11" s="372" t="s">
        <v>665</v>
      </c>
      <c r="B11" s="145" t="s">
        <v>666</v>
      </c>
      <c r="C11" s="168"/>
      <c r="D11" s="216"/>
      <c r="E11" s="216"/>
      <c r="F11" s="168"/>
    </row>
    <row r="12" spans="1:6" ht="15.75" customHeight="1">
      <c r="A12" s="372"/>
      <c r="B12" s="145"/>
      <c r="C12" s="168"/>
      <c r="D12" s="216"/>
      <c r="E12" s="216"/>
      <c r="F12" s="168"/>
    </row>
    <row r="13" spans="1:6" ht="15.75" customHeight="1">
      <c r="A13" s="131" t="s">
        <v>667</v>
      </c>
      <c r="B13" s="252" t="s">
        <v>668</v>
      </c>
      <c r="C13" s="131" t="s">
        <v>669</v>
      </c>
      <c r="D13" s="38" t="s">
        <v>577</v>
      </c>
      <c r="E13" s="38" t="s">
        <v>578</v>
      </c>
      <c r="F13" s="252" t="s">
        <v>648</v>
      </c>
    </row>
    <row r="14" spans="1:6" ht="25.5" customHeight="1">
      <c r="A14" s="319" t="s">
        <v>670</v>
      </c>
      <c r="B14" s="68" t="s">
        <v>671</v>
      </c>
      <c r="C14" s="68">
        <v>62.01</v>
      </c>
      <c r="D14" s="229"/>
      <c r="E14" s="229"/>
      <c r="F14" s="172" t="s">
        <v>672</v>
      </c>
    </row>
    <row r="15" spans="1:6" ht="38.25" customHeight="1">
      <c r="A15" s="319" t="s">
        <v>673</v>
      </c>
      <c r="B15" s="68" t="s">
        <v>674</v>
      </c>
      <c r="C15" s="68">
        <v>10.31</v>
      </c>
      <c r="D15" s="229"/>
      <c r="E15" s="229"/>
      <c r="F15" s="172" t="s">
        <v>675</v>
      </c>
    </row>
    <row r="16" spans="1:6" ht="15.75" customHeight="1">
      <c r="A16" s="319" t="s">
        <v>676</v>
      </c>
      <c r="B16" s="68" t="s">
        <v>677</v>
      </c>
      <c r="C16" s="68"/>
      <c r="D16" s="277"/>
      <c r="E16" s="277"/>
      <c r="F16" s="420" t="s">
        <v>678</v>
      </c>
    </row>
    <row r="17" spans="1:6" ht="13.2">
      <c r="A17" s="248"/>
      <c r="B17" s="68" t="s">
        <v>679</v>
      </c>
      <c r="C17" s="264">
        <v>49.8</v>
      </c>
      <c r="D17" s="229"/>
      <c r="E17" s="229"/>
      <c r="F17" s="420" t="s">
        <v>680</v>
      </c>
    </row>
    <row r="18" spans="1:6" ht="25.5" customHeight="1">
      <c r="A18" s="319" t="s">
        <v>681</v>
      </c>
      <c r="B18" s="68" t="s">
        <v>682</v>
      </c>
      <c r="C18" s="68"/>
      <c r="D18" s="229"/>
      <c r="E18" s="229"/>
      <c r="F18" s="172" t="s">
        <v>683</v>
      </c>
    </row>
    <row r="19" spans="1:6" ht="15.75" customHeight="1">
      <c r="A19" s="319" t="s">
        <v>684</v>
      </c>
      <c r="B19" s="68" t="s">
        <v>685</v>
      </c>
      <c r="C19" s="68">
        <v>5.03</v>
      </c>
      <c r="D19" s="229"/>
      <c r="E19" s="229"/>
      <c r="F19" s="172" t="s">
        <v>686</v>
      </c>
    </row>
    <row r="20" spans="1:6" ht="13.2">
      <c r="A20" s="248"/>
      <c r="B20" s="68" t="s">
        <v>687</v>
      </c>
      <c r="C20" s="68">
        <v>3.12</v>
      </c>
      <c r="D20" s="229"/>
      <c r="E20" s="229"/>
      <c r="F20" s="248" t="s">
        <v>688</v>
      </c>
    </row>
    <row r="21" spans="1:6" ht="15.75" customHeight="1">
      <c r="A21" s="319" t="s">
        <v>689</v>
      </c>
      <c r="B21" s="68" t="s">
        <v>690</v>
      </c>
      <c r="C21" s="68"/>
      <c r="D21" s="229"/>
      <c r="E21" s="229"/>
      <c r="F21" s="420" t="s">
        <v>691</v>
      </c>
    </row>
    <row r="22" spans="1:6" ht="13.5" customHeight="1">
      <c r="A22" s="162"/>
      <c r="B22" s="57" t="s">
        <v>692</v>
      </c>
      <c r="C22" s="57">
        <v>26.13</v>
      </c>
      <c r="D22" s="235"/>
      <c r="E22" s="229"/>
      <c r="F22" s="420" t="s">
        <v>693</v>
      </c>
    </row>
    <row r="23" spans="1:6" ht="16.5" customHeight="1">
      <c r="A23" s="501" t="s">
        <v>694</v>
      </c>
      <c r="B23" s="502"/>
      <c r="C23" s="393" t="s">
        <v>577</v>
      </c>
      <c r="D23" s="361" t="s">
        <v>578</v>
      </c>
      <c r="E23" s="201"/>
      <c r="F23" s="168"/>
    </row>
    <row r="24" spans="1:6" ht="13.2">
      <c r="A24" s="125" t="s">
        <v>695</v>
      </c>
      <c r="B24" s="244" t="s">
        <v>619</v>
      </c>
      <c r="C24" s="244"/>
      <c r="D24" s="382"/>
      <c r="E24" s="18"/>
      <c r="F24" s="168"/>
    </row>
    <row r="25" spans="1:6" ht="13.2">
      <c r="A25" s="125" t="s">
        <v>649</v>
      </c>
      <c r="B25" s="244" t="s">
        <v>650</v>
      </c>
      <c r="C25" s="244"/>
      <c r="D25" s="382"/>
      <c r="E25" s="18"/>
      <c r="F25" s="168"/>
    </row>
    <row r="26" spans="1:6" ht="13.2">
      <c r="A26" s="125" t="s">
        <v>658</v>
      </c>
      <c r="B26" s="244" t="s">
        <v>696</v>
      </c>
      <c r="C26" s="244"/>
      <c r="D26" s="382"/>
      <c r="E26" s="18"/>
      <c r="F26" s="168"/>
    </row>
    <row r="27" spans="1:6" ht="13.2">
      <c r="A27" s="125" t="s">
        <v>697</v>
      </c>
      <c r="B27" s="244" t="s">
        <v>608</v>
      </c>
      <c r="C27" s="244"/>
      <c r="D27" s="382"/>
      <c r="E27" s="18"/>
      <c r="F27" s="168"/>
    </row>
    <row r="28" spans="1:6" ht="13.2">
      <c r="A28" s="125" t="s">
        <v>698</v>
      </c>
      <c r="B28" s="434" t="s">
        <v>699</v>
      </c>
      <c r="C28" s="244"/>
      <c r="D28" s="103"/>
      <c r="E28" s="411"/>
      <c r="F28" s="168"/>
    </row>
    <row r="29" spans="1:6" ht="13.2">
      <c r="A29" s="125" t="s">
        <v>700</v>
      </c>
      <c r="B29" s="434" t="s">
        <v>701</v>
      </c>
      <c r="C29" s="244"/>
      <c r="D29" s="14"/>
      <c r="E29" s="367"/>
      <c r="F29" s="168"/>
    </row>
    <row r="30" spans="1:6" ht="13.2">
      <c r="A30" s="125" t="s">
        <v>702</v>
      </c>
      <c r="B30" s="434" t="s">
        <v>685</v>
      </c>
      <c r="C30" s="244"/>
      <c r="D30" s="103"/>
      <c r="E30" s="411"/>
      <c r="F30" s="168"/>
    </row>
    <row r="31" spans="1:6" ht="25.5" customHeight="1">
      <c r="A31" s="121" t="s">
        <v>703</v>
      </c>
      <c r="B31" s="434" t="s">
        <v>704</v>
      </c>
      <c r="C31" s="244"/>
      <c r="D31" s="305"/>
      <c r="E31" s="242"/>
      <c r="F31" s="168"/>
    </row>
    <row r="32" spans="1:6" ht="26.25" customHeight="1">
      <c r="A32" s="105" t="s">
        <v>705</v>
      </c>
      <c r="B32" s="209" t="s">
        <v>706</v>
      </c>
      <c r="C32" s="88"/>
      <c r="D32" s="197"/>
      <c r="E32" s="336"/>
      <c r="F32" s="168"/>
    </row>
    <row r="33" spans="1:6" ht="13.5" customHeight="1">
      <c r="A33" s="321"/>
      <c r="B33" s="321"/>
      <c r="C33" s="321"/>
      <c r="D33" s="321"/>
      <c r="E33" s="168"/>
      <c r="F33" s="168"/>
    </row>
  </sheetData>
  <mergeCells count="2">
    <mergeCell ref="A1:F1"/>
    <mergeCell ref="A23:B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90"/>
  <sheetViews>
    <sheetView topLeftCell="A76" workbookViewId="0">
      <selection activeCell="H96" sqref="H96"/>
    </sheetView>
  </sheetViews>
  <sheetFormatPr baseColWidth="10" defaultColWidth="10.6640625" defaultRowHeight="12.75" customHeight="1"/>
  <cols>
    <col min="1" max="1" width="35.33203125" customWidth="1"/>
    <col min="2" max="2" width="10.44140625" customWidth="1"/>
    <col min="3" max="3" width="27.88671875" customWidth="1"/>
    <col min="4" max="4" width="9.88671875" customWidth="1"/>
    <col min="5" max="5" width="6.88671875" customWidth="1"/>
    <col min="6" max="6" width="12.88671875" customWidth="1"/>
    <col min="7" max="14" width="8.33203125" customWidth="1"/>
    <col min="15" max="15" width="8.33203125" style="78" customWidth="1"/>
    <col min="16" max="26" width="8.33203125" customWidth="1"/>
    <col min="27" max="27" width="8.33203125" style="78" customWidth="1"/>
    <col min="28" max="33" width="8.33203125" customWidth="1"/>
    <col min="34" max="34" width="8" customWidth="1"/>
  </cols>
  <sheetData>
    <row r="1" spans="1:35" ht="12.75" customHeight="1">
      <c r="A1" s="334" t="s">
        <v>81</v>
      </c>
      <c r="B1" s="168"/>
      <c r="C1" s="168"/>
      <c r="D1" s="457" t="s">
        <v>82</v>
      </c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8"/>
      <c r="P1" s="459" t="s">
        <v>83</v>
      </c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8"/>
      <c r="AB1" s="459" t="s">
        <v>84</v>
      </c>
      <c r="AC1" s="457"/>
      <c r="AD1" s="457"/>
      <c r="AE1" s="457"/>
      <c r="AF1" s="457"/>
      <c r="AG1" s="457"/>
      <c r="AH1" s="457"/>
      <c r="AI1" s="168"/>
    </row>
    <row r="2" spans="1:35" ht="12.75" customHeight="1">
      <c r="A2" s="251">
        <f>'Budget, PV contrat'!D21</f>
        <v>119600</v>
      </c>
      <c r="B2" s="168"/>
      <c r="C2" s="5" t="s">
        <v>85</v>
      </c>
      <c r="D2" s="124" t="s">
        <v>86</v>
      </c>
      <c r="E2" s="124" t="s">
        <v>87</v>
      </c>
      <c r="F2" s="124" t="s">
        <v>88</v>
      </c>
      <c r="G2" s="124" t="s">
        <v>89</v>
      </c>
      <c r="H2" s="124" t="s">
        <v>88</v>
      </c>
      <c r="I2" s="124" t="s">
        <v>86</v>
      </c>
      <c r="J2" s="124" t="s">
        <v>86</v>
      </c>
      <c r="K2" s="124" t="s">
        <v>89</v>
      </c>
      <c r="L2" s="124" t="s">
        <v>90</v>
      </c>
      <c r="M2" s="124" t="s">
        <v>91</v>
      </c>
      <c r="N2" s="124" t="s">
        <v>92</v>
      </c>
      <c r="O2" s="191" t="s">
        <v>93</v>
      </c>
      <c r="P2" s="153" t="s">
        <v>86</v>
      </c>
      <c r="Q2" s="124" t="s">
        <v>87</v>
      </c>
      <c r="R2" s="124" t="s">
        <v>88</v>
      </c>
      <c r="S2" s="124" t="s">
        <v>89</v>
      </c>
      <c r="T2" s="124" t="s">
        <v>88</v>
      </c>
      <c r="U2" s="124" t="s">
        <v>86</v>
      </c>
      <c r="V2" s="124" t="s">
        <v>86</v>
      </c>
      <c r="W2" s="124" t="s">
        <v>89</v>
      </c>
      <c r="X2" s="124" t="s">
        <v>90</v>
      </c>
      <c r="Y2" s="124" t="s">
        <v>91</v>
      </c>
      <c r="Z2" s="124" t="s">
        <v>92</v>
      </c>
      <c r="AA2" s="191" t="s">
        <v>93</v>
      </c>
      <c r="AB2" s="153" t="s">
        <v>86</v>
      </c>
      <c r="AC2" s="124" t="s">
        <v>87</v>
      </c>
      <c r="AD2" s="124" t="s">
        <v>88</v>
      </c>
      <c r="AE2" s="124" t="s">
        <v>89</v>
      </c>
      <c r="AF2" s="124" t="s">
        <v>88</v>
      </c>
      <c r="AG2" s="124" t="s">
        <v>86</v>
      </c>
      <c r="AH2" s="168"/>
      <c r="AI2" s="168"/>
    </row>
    <row r="3" spans="1:35" ht="12.75" customHeight="1">
      <c r="A3" s="334" t="s">
        <v>94</v>
      </c>
      <c r="B3" s="168"/>
      <c r="C3" s="6" t="s">
        <v>95</v>
      </c>
      <c r="D3" s="124">
        <f>IF(('Tableau simu'!B3="Oui"),1,0)</f>
        <v>0</v>
      </c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91"/>
      <c r="P3" s="153">
        <f>IF(('Tableau simu'!C3="Oui"),1,0)</f>
        <v>1</v>
      </c>
      <c r="Q3" s="124"/>
      <c r="R3" s="124"/>
      <c r="S3" s="124"/>
      <c r="T3" s="124" t="s">
        <v>96</v>
      </c>
      <c r="U3" s="124"/>
      <c r="V3" s="124"/>
      <c r="W3" s="124"/>
      <c r="X3" s="124"/>
      <c r="Y3" s="124"/>
      <c r="Z3" s="124"/>
      <c r="AA3" s="191"/>
      <c r="AB3" s="153"/>
      <c r="AC3" s="124"/>
      <c r="AD3" s="124"/>
      <c r="AE3" s="124"/>
      <c r="AF3" s="124"/>
      <c r="AG3" s="124"/>
      <c r="AH3" s="168"/>
      <c r="AI3" s="168"/>
    </row>
    <row r="4" spans="1:35" ht="12.75" customHeight="1">
      <c r="A4" s="251">
        <f>'Budget, PV contrat'!G21</f>
        <v>95680</v>
      </c>
      <c r="B4" s="168"/>
      <c r="C4" s="276" t="s">
        <v>97</v>
      </c>
      <c r="D4" s="124">
        <f>IF(($B$9=0),0,(($D$3*$B$9)*$A$2))</f>
        <v>0</v>
      </c>
      <c r="E4" s="124"/>
      <c r="F4" s="124">
        <f>IF(($B$10=0),0,(($D$3*$B$10)*$A$2))</f>
        <v>0</v>
      </c>
      <c r="G4" s="124"/>
      <c r="H4" s="376">
        <f>IF(($B$11=0),0,(($D$3*$B$11)*$A$2))</f>
        <v>0</v>
      </c>
      <c r="I4" s="124"/>
      <c r="J4" s="124"/>
      <c r="K4" s="124"/>
      <c r="L4" s="124"/>
      <c r="M4" s="124"/>
      <c r="N4" s="124"/>
      <c r="O4" s="191"/>
      <c r="P4" s="153">
        <f>IF(($B$9=0),0,(($P$3*$B$9)*$A$4))</f>
        <v>9568</v>
      </c>
      <c r="Q4" s="124"/>
      <c r="R4" s="124">
        <f>IF(($B$10=0),0,(($P$3*$B$10)*$A$4))</f>
        <v>38272</v>
      </c>
      <c r="S4" s="124"/>
      <c r="T4" s="251">
        <f>IF(($B$11=0),0,(($P$3*$B$11)*$A$4))</f>
        <v>47840</v>
      </c>
      <c r="U4" s="124"/>
      <c r="V4" s="124"/>
      <c r="W4" s="124"/>
      <c r="X4" s="124"/>
      <c r="Y4" s="124"/>
      <c r="Z4" s="124"/>
      <c r="AA4" s="191"/>
      <c r="AB4" s="153"/>
      <c r="AC4" s="124"/>
      <c r="AD4" s="124"/>
      <c r="AE4" s="124"/>
      <c r="AF4" s="124"/>
      <c r="AG4" s="124"/>
      <c r="AH4" s="168"/>
      <c r="AI4" s="168"/>
    </row>
    <row r="5" spans="1:35" ht="12.75" customHeight="1">
      <c r="A5" s="334" t="s">
        <v>98</v>
      </c>
      <c r="B5" s="168"/>
      <c r="C5" s="276" t="s">
        <v>99</v>
      </c>
      <c r="D5" s="124"/>
      <c r="E5" s="124">
        <f>D4</f>
        <v>0</v>
      </c>
      <c r="F5" s="124"/>
      <c r="G5" s="124">
        <f>F4</f>
        <v>0</v>
      </c>
      <c r="H5" s="124"/>
      <c r="I5" s="376">
        <f>H4</f>
        <v>0</v>
      </c>
      <c r="J5" s="124"/>
      <c r="K5" s="124"/>
      <c r="L5" s="124"/>
      <c r="M5" s="124"/>
      <c r="N5" s="124"/>
      <c r="O5" s="191"/>
      <c r="P5" s="153"/>
      <c r="Q5" s="124">
        <f>P4</f>
        <v>9568</v>
      </c>
      <c r="R5" s="124"/>
      <c r="S5" s="124">
        <f>R4</f>
        <v>38272</v>
      </c>
      <c r="T5" s="124"/>
      <c r="U5" s="251">
        <f>T4</f>
        <v>47840</v>
      </c>
      <c r="V5" s="124"/>
      <c r="W5" s="124"/>
      <c r="X5" s="124"/>
      <c r="Y5" s="124"/>
      <c r="Z5" s="124"/>
      <c r="AA5" s="191"/>
      <c r="AB5" s="153"/>
      <c r="AC5" s="124"/>
      <c r="AD5" s="124"/>
      <c r="AE5" s="124"/>
      <c r="AF5" s="124"/>
      <c r="AG5" s="124"/>
      <c r="AH5" s="168"/>
      <c r="AI5" s="168"/>
    </row>
    <row r="6" spans="1:35" ht="12.75" customHeight="1">
      <c r="A6" s="251">
        <f>'Budget, PV contrat'!J21</f>
        <v>143520</v>
      </c>
      <c r="B6" s="168"/>
      <c r="C6" s="6" t="s">
        <v>100</v>
      </c>
      <c r="D6" s="124"/>
      <c r="E6" s="124">
        <f>IF(('Tableau simu'!B4="Oui"),1,0)</f>
        <v>0</v>
      </c>
      <c r="F6" s="124"/>
      <c r="G6" s="124"/>
      <c r="H6" s="124"/>
      <c r="I6" s="124"/>
      <c r="J6" s="124"/>
      <c r="K6" s="124"/>
      <c r="L6" s="124"/>
      <c r="M6" s="124"/>
      <c r="N6" s="124"/>
      <c r="O6" s="191"/>
      <c r="P6" s="153"/>
      <c r="Q6" s="124">
        <f>IF(('Tableau simu'!C4="Oui"),1,0)</f>
        <v>1</v>
      </c>
      <c r="R6" s="124"/>
      <c r="S6" s="124"/>
      <c r="T6" s="124"/>
      <c r="U6" s="124" t="s">
        <v>96</v>
      </c>
      <c r="V6" s="124"/>
      <c r="W6" s="124"/>
      <c r="X6" s="124"/>
      <c r="Y6" s="124"/>
      <c r="Z6" s="124"/>
      <c r="AA6" s="191"/>
      <c r="AB6" s="153"/>
      <c r="AC6" s="124"/>
      <c r="AD6" s="124"/>
      <c r="AE6" s="124"/>
      <c r="AF6" s="124"/>
      <c r="AG6" s="124"/>
      <c r="AH6" s="168"/>
      <c r="AI6" s="168"/>
    </row>
    <row r="7" spans="1:35" ht="12.75" customHeight="1">
      <c r="A7" s="276"/>
      <c r="B7" s="168"/>
      <c r="C7" s="276" t="s">
        <v>101</v>
      </c>
      <c r="D7" s="124"/>
      <c r="E7" s="124">
        <f>IF(($B$9=0),0,(($E$6*$B$9)*$A$2))</f>
        <v>0</v>
      </c>
      <c r="F7" s="124"/>
      <c r="G7" s="124">
        <f>IF(($B$10=0),0,(($E$6*$B$10)*$A$2))</f>
        <v>0</v>
      </c>
      <c r="H7" s="124"/>
      <c r="I7" s="251">
        <f>IF(($B$11=0),0,(($E$6*$B$11)*$A$2))</f>
        <v>0</v>
      </c>
      <c r="J7" s="124"/>
      <c r="K7" s="124"/>
      <c r="L7" s="124"/>
      <c r="M7" s="124"/>
      <c r="N7" s="124"/>
      <c r="O7" s="191"/>
      <c r="P7" s="153"/>
      <c r="Q7" s="124">
        <f>IF(($B$9=0),0,(($Q$6*$B$9)*$A$4))</f>
        <v>9568</v>
      </c>
      <c r="R7" s="124"/>
      <c r="S7" s="124">
        <f>IF(($B$10=0),0,(($Q$6*$B$10)*$A$4))</f>
        <v>38272</v>
      </c>
      <c r="T7" s="124"/>
      <c r="U7" s="251">
        <f>IF(($B$11=0),0,(($Q$6*$B$11)*$A$4))</f>
        <v>47840</v>
      </c>
      <c r="V7" s="124"/>
      <c r="W7" s="124"/>
      <c r="X7" s="124"/>
      <c r="Y7" s="124"/>
      <c r="Z7" s="124"/>
      <c r="AA7" s="191"/>
      <c r="AB7" s="153"/>
      <c r="AC7" s="124"/>
      <c r="AD7" s="124"/>
      <c r="AE7" s="124"/>
      <c r="AF7" s="124"/>
      <c r="AG7" s="124"/>
      <c r="AH7" s="168"/>
      <c r="AI7" s="168"/>
    </row>
    <row r="8" spans="1:35" ht="12.75" customHeight="1">
      <c r="A8" s="301" t="s">
        <v>102</v>
      </c>
      <c r="B8" s="24"/>
      <c r="C8" s="276" t="s">
        <v>99</v>
      </c>
      <c r="D8" s="124"/>
      <c r="E8" s="124"/>
      <c r="F8" s="124">
        <f>IF(($B$9=0),0,(($E$6*$B$9)*$A$2))</f>
        <v>0</v>
      </c>
      <c r="G8" s="124"/>
      <c r="H8" s="124">
        <f>IF(($B$10=0),0,(($E$6*$B$10)*$A$2))</f>
        <v>0</v>
      </c>
      <c r="I8" s="124"/>
      <c r="J8" s="251">
        <f>IF(($B$11=0),0,(($E$6*$B$11)*$A$2))</f>
        <v>0</v>
      </c>
      <c r="K8" s="124"/>
      <c r="L8" s="124"/>
      <c r="M8" s="124"/>
      <c r="N8" s="124"/>
      <c r="O8" s="191"/>
      <c r="P8" s="153"/>
      <c r="Q8" s="124"/>
      <c r="R8" s="124">
        <f>Q7</f>
        <v>9568</v>
      </c>
      <c r="S8" s="124"/>
      <c r="T8" s="124">
        <f>S7</f>
        <v>38272</v>
      </c>
      <c r="U8" s="124"/>
      <c r="V8" s="251">
        <f>U7</f>
        <v>47840</v>
      </c>
      <c r="W8" s="124"/>
      <c r="X8" s="124"/>
      <c r="Y8" s="124"/>
      <c r="Z8" s="124"/>
      <c r="AA8" s="191"/>
      <c r="AB8" s="153"/>
      <c r="AC8" s="124"/>
      <c r="AD8" s="124"/>
      <c r="AE8" s="124"/>
      <c r="AF8" s="124"/>
      <c r="AG8" s="124"/>
      <c r="AH8" s="168"/>
      <c r="AI8" s="168"/>
    </row>
    <row r="9" spans="1:35" ht="12.75" customHeight="1">
      <c r="A9" s="326" t="s">
        <v>103</v>
      </c>
      <c r="B9" s="369">
        <f>'Tableau simu'!B20</f>
        <v>0.1</v>
      </c>
      <c r="C9" s="342" t="s">
        <v>104</v>
      </c>
      <c r="D9" s="124"/>
      <c r="E9" s="124"/>
      <c r="F9" s="124">
        <f>IF(('Tableau simu'!B5="Oui"),1,0)</f>
        <v>1</v>
      </c>
      <c r="G9" s="124"/>
      <c r="H9" s="124"/>
      <c r="I9" s="124"/>
      <c r="J9" s="124" t="s">
        <v>96</v>
      </c>
      <c r="K9" s="124"/>
      <c r="L9" s="124"/>
      <c r="M9" s="124"/>
      <c r="N9" s="124"/>
      <c r="O9" s="191"/>
      <c r="P9" s="27"/>
      <c r="Q9" s="276"/>
      <c r="R9" s="124">
        <f>IF(('Tableau simu'!C5="Oui"),1,0)</f>
        <v>1</v>
      </c>
      <c r="S9" s="276"/>
      <c r="T9" s="276"/>
      <c r="U9" s="168"/>
      <c r="V9" s="124" t="s">
        <v>96</v>
      </c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</row>
    <row r="10" spans="1:35" ht="12.75" customHeight="1">
      <c r="A10" s="326" t="s">
        <v>105</v>
      </c>
      <c r="B10" s="369">
        <f>'Tableau simu'!B21</f>
        <v>0.4</v>
      </c>
      <c r="C10" s="27" t="s">
        <v>101</v>
      </c>
      <c r="D10" s="124"/>
      <c r="E10" s="124"/>
      <c r="F10" s="124">
        <f>IF(($B$9=0),0,(($F$9*$B$9)*$A$2))</f>
        <v>11960</v>
      </c>
      <c r="G10" s="276"/>
      <c r="H10" s="124">
        <f>IF(($B$10=0),0,(($F$9*$B$10)*$A$2))</f>
        <v>47840</v>
      </c>
      <c r="I10" s="124"/>
      <c r="J10" s="251">
        <f>IF(($B$11=0),0,(($F$9*$B$11)*$A$2))</f>
        <v>59800</v>
      </c>
      <c r="K10" s="124"/>
      <c r="L10" s="124"/>
      <c r="M10" s="124"/>
      <c r="N10" s="124"/>
      <c r="O10" s="191"/>
      <c r="P10" s="27"/>
      <c r="Q10" s="276"/>
      <c r="R10" s="124">
        <f>IF(($B$9=0),0,(($R$9*$B$9)*$A$4))</f>
        <v>9568</v>
      </c>
      <c r="S10" s="124"/>
      <c r="T10" s="124">
        <f>IF(($B$10=0),0,(($R$9*$B$10)*$A$4))</f>
        <v>38272</v>
      </c>
      <c r="U10" s="124"/>
      <c r="V10" s="251">
        <f>IF(($B$11=0),0,(($R$9*$B$11)*$A$4))</f>
        <v>47840</v>
      </c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</row>
    <row r="11" spans="1:35" ht="12.75" customHeight="1">
      <c r="A11" s="326" t="s">
        <v>47</v>
      </c>
      <c r="B11" s="379">
        <f>1-(B9+B10)</f>
        <v>0.5</v>
      </c>
      <c r="C11" s="27" t="s">
        <v>99</v>
      </c>
      <c r="D11" s="124"/>
      <c r="E11" s="124"/>
      <c r="F11" s="124"/>
      <c r="G11" s="124">
        <f>F10</f>
        <v>11960</v>
      </c>
      <c r="H11" s="124"/>
      <c r="I11" s="124">
        <f>H10</f>
        <v>47840</v>
      </c>
      <c r="J11" s="124"/>
      <c r="K11" s="251">
        <f>J10</f>
        <v>59800</v>
      </c>
      <c r="L11" s="124"/>
      <c r="M11" s="124"/>
      <c r="N11" s="124"/>
      <c r="O11" s="191"/>
      <c r="P11" s="27"/>
      <c r="Q11" s="276"/>
      <c r="R11" s="276"/>
      <c r="S11" s="124">
        <f>R10</f>
        <v>9568</v>
      </c>
      <c r="T11" s="124"/>
      <c r="U11" s="124">
        <f>T10</f>
        <v>38272</v>
      </c>
      <c r="V11" s="124"/>
      <c r="W11" s="251">
        <f>V10</f>
        <v>47840</v>
      </c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</row>
    <row r="12" spans="1:35" ht="12.75" customHeight="1">
      <c r="A12" s="326" t="s">
        <v>106</v>
      </c>
      <c r="B12" s="226" t="s">
        <v>107</v>
      </c>
      <c r="C12" s="342" t="s">
        <v>108</v>
      </c>
      <c r="D12" s="124"/>
      <c r="E12" s="124"/>
      <c r="F12" s="124"/>
      <c r="G12" s="124">
        <f>IF(('Tableau simu'!B6="Oui"),1,0)</f>
        <v>1</v>
      </c>
      <c r="H12" s="124"/>
      <c r="I12" s="124"/>
      <c r="J12" s="124"/>
      <c r="K12" s="124" t="s">
        <v>96</v>
      </c>
      <c r="L12" s="124"/>
      <c r="M12" s="124"/>
      <c r="N12" s="124"/>
      <c r="O12" s="191"/>
      <c r="P12" s="27"/>
      <c r="Q12" s="276"/>
      <c r="R12" s="276"/>
      <c r="S12" s="124">
        <f>IF(('Tableau simu'!C6="Oui"),1,0)</f>
        <v>1</v>
      </c>
      <c r="T12" s="276"/>
      <c r="U12" s="168"/>
      <c r="V12" s="168"/>
      <c r="W12" s="124" t="s">
        <v>96</v>
      </c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</row>
    <row r="13" spans="1:35" ht="12.75" customHeight="1">
      <c r="A13" s="32"/>
      <c r="B13" s="32"/>
      <c r="C13" s="276" t="s">
        <v>101</v>
      </c>
      <c r="D13" s="124"/>
      <c r="E13" s="124"/>
      <c r="F13" s="124"/>
      <c r="G13" s="124">
        <f>IF(($B$9=0),0,(($G$12*$B$9)*$A$2))</f>
        <v>11960</v>
      </c>
      <c r="H13" s="276"/>
      <c r="I13" s="124">
        <f>IF(($B$10=0),0,(($G$12*$B$10)*$A$2))</f>
        <v>47840</v>
      </c>
      <c r="J13" s="124"/>
      <c r="K13" s="251">
        <f>IF(($B$11=0),0,(($G$12*$B$11)*$A$2))</f>
        <v>59800</v>
      </c>
      <c r="L13" s="124"/>
      <c r="M13" s="124"/>
      <c r="N13" s="124"/>
      <c r="O13" s="191"/>
      <c r="P13" s="27"/>
      <c r="Q13" s="276"/>
      <c r="R13" s="276"/>
      <c r="S13" s="124">
        <f>IF(($B$9=0),0,(($S$12*$B$9)*$A$4))</f>
        <v>9568</v>
      </c>
      <c r="T13" s="124"/>
      <c r="U13" s="124">
        <f>IF(($B$10=0),0,(($S$12*$B$10)*$A$4))</f>
        <v>38272</v>
      </c>
      <c r="V13" s="124"/>
      <c r="W13" s="251">
        <f>IF(($B$11=0),0,(($S$12*$B$11)*$A$4))</f>
        <v>47840</v>
      </c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</row>
    <row r="14" spans="1:35" ht="12.75" customHeight="1">
      <c r="A14" s="168"/>
      <c r="B14" s="168"/>
      <c r="C14" s="276" t="s">
        <v>99</v>
      </c>
      <c r="D14" s="124"/>
      <c r="E14" s="124"/>
      <c r="F14" s="124"/>
      <c r="G14" s="124"/>
      <c r="H14" s="124">
        <f>G13</f>
        <v>11960</v>
      </c>
      <c r="I14" s="124"/>
      <c r="J14" s="124">
        <f>I13</f>
        <v>47840</v>
      </c>
      <c r="K14" s="124"/>
      <c r="L14" s="251">
        <f>K13</f>
        <v>59800</v>
      </c>
      <c r="M14" s="124"/>
      <c r="N14" s="124"/>
      <c r="O14" s="191"/>
      <c r="P14" s="27"/>
      <c r="Q14" s="276"/>
      <c r="R14" s="276"/>
      <c r="S14" s="276"/>
      <c r="T14" s="124">
        <f>S13</f>
        <v>9568</v>
      </c>
      <c r="U14" s="124"/>
      <c r="V14" s="124">
        <f>U13</f>
        <v>38272</v>
      </c>
      <c r="W14" s="124"/>
      <c r="X14" s="251">
        <f>W13</f>
        <v>47840</v>
      </c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</row>
    <row r="15" spans="1:35" ht="12.75" customHeight="1">
      <c r="A15" s="168"/>
      <c r="B15" s="168"/>
      <c r="C15" s="6" t="s">
        <v>109</v>
      </c>
      <c r="D15" s="124"/>
      <c r="E15" s="124"/>
      <c r="F15" s="124"/>
      <c r="G15" s="124"/>
      <c r="H15" s="124">
        <f>IF(('Tableau simu'!B7="Oui"),1,0)</f>
        <v>1</v>
      </c>
      <c r="I15" s="124"/>
      <c r="J15" s="124"/>
      <c r="K15" s="124"/>
      <c r="L15" s="124" t="s">
        <v>96</v>
      </c>
      <c r="M15" s="124"/>
      <c r="N15" s="124"/>
      <c r="O15" s="191"/>
      <c r="P15" s="27"/>
      <c r="Q15" s="276"/>
      <c r="R15" s="276"/>
      <c r="S15" s="276"/>
      <c r="T15" s="124">
        <f>IF(('Tableau simu'!C7="Oui"),1,0)</f>
        <v>1</v>
      </c>
      <c r="U15" s="168"/>
      <c r="V15" s="168"/>
      <c r="W15" s="168"/>
      <c r="X15" s="124" t="s">
        <v>96</v>
      </c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</row>
    <row r="16" spans="1:35" ht="12.75" customHeight="1">
      <c r="A16" s="168"/>
      <c r="B16" s="168"/>
      <c r="C16" s="276" t="s">
        <v>101</v>
      </c>
      <c r="D16" s="124"/>
      <c r="E16" s="124"/>
      <c r="F16" s="124"/>
      <c r="G16" s="124"/>
      <c r="H16" s="124">
        <f>IF(($B$9=0),0,(($H$15*$B$9)*$A$2))</f>
        <v>11960</v>
      </c>
      <c r="I16" s="276"/>
      <c r="J16" s="124">
        <f>IF(($B$10=0),0,(($H$15*$B$10)*$A$2))</f>
        <v>47840</v>
      </c>
      <c r="K16" s="124"/>
      <c r="L16" s="251">
        <f>IF(($B$11=0),0,(($H$15*$B$11)*$A$2))</f>
        <v>59800</v>
      </c>
      <c r="M16" s="124"/>
      <c r="N16" s="124"/>
      <c r="O16" s="191"/>
      <c r="P16" s="27"/>
      <c r="Q16" s="276"/>
      <c r="R16" s="276"/>
      <c r="S16" s="276"/>
      <c r="T16" s="124">
        <f>IF(($B$9=0),0,(($T$15*$B$9)*$A$4))</f>
        <v>9568</v>
      </c>
      <c r="U16" s="124"/>
      <c r="V16" s="124">
        <f>IF(($B$10=0),0,(($T$15*$B$10)*$A$4))</f>
        <v>38272</v>
      </c>
      <c r="W16" s="124"/>
      <c r="X16" s="251">
        <f>IF(($B$11=0),0,(($T$15*$B$11)*$A$4))</f>
        <v>47840</v>
      </c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</row>
    <row r="17" spans="1:35" ht="12.75" customHeight="1">
      <c r="A17" s="168"/>
      <c r="B17" s="168"/>
      <c r="C17" s="276" t="s">
        <v>99</v>
      </c>
      <c r="D17" s="124"/>
      <c r="E17" s="124"/>
      <c r="F17" s="124"/>
      <c r="G17" s="124"/>
      <c r="H17" s="124"/>
      <c r="I17" s="124">
        <f>H16</f>
        <v>11960</v>
      </c>
      <c r="J17" s="124"/>
      <c r="K17" s="124">
        <f>J16</f>
        <v>47840</v>
      </c>
      <c r="L17" s="124"/>
      <c r="M17" s="251">
        <f>L16</f>
        <v>59800</v>
      </c>
      <c r="N17" s="124"/>
      <c r="O17" s="191"/>
      <c r="P17" s="27"/>
      <c r="Q17" s="276"/>
      <c r="R17" s="276"/>
      <c r="S17" s="276"/>
      <c r="T17" s="276"/>
      <c r="U17" s="124">
        <f>T16</f>
        <v>9568</v>
      </c>
      <c r="V17" s="124"/>
      <c r="W17" s="124">
        <f>V16</f>
        <v>38272</v>
      </c>
      <c r="X17" s="124"/>
      <c r="Y17" s="251">
        <f>X16</f>
        <v>47840</v>
      </c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</row>
    <row r="18" spans="1:35" ht="12.75" customHeight="1">
      <c r="A18" s="168"/>
      <c r="B18" s="168"/>
      <c r="C18" s="6" t="s">
        <v>110</v>
      </c>
      <c r="D18" s="124"/>
      <c r="E18" s="124"/>
      <c r="F18" s="124"/>
      <c r="G18" s="124"/>
      <c r="H18" s="124"/>
      <c r="I18" s="124">
        <f>IF(('Tableau simu'!B8="Oui"),1,0)</f>
        <v>1</v>
      </c>
      <c r="J18" s="124"/>
      <c r="K18" s="124"/>
      <c r="L18" s="124"/>
      <c r="M18" s="124" t="s">
        <v>96</v>
      </c>
      <c r="N18" s="124"/>
      <c r="O18" s="191"/>
      <c r="P18" s="27"/>
      <c r="Q18" s="276"/>
      <c r="R18" s="276"/>
      <c r="S18" s="276"/>
      <c r="T18" s="276"/>
      <c r="U18" s="124">
        <f>IF(('Tableau simu'!C8="Oui"),1,0)</f>
        <v>1</v>
      </c>
      <c r="V18" s="168"/>
      <c r="W18" s="168"/>
      <c r="X18" s="168"/>
      <c r="Y18" s="124" t="s">
        <v>96</v>
      </c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</row>
    <row r="19" spans="1:35" ht="12.75" customHeight="1">
      <c r="A19" s="276"/>
      <c r="B19" s="168"/>
      <c r="C19" s="276" t="s">
        <v>101</v>
      </c>
      <c r="D19" s="124"/>
      <c r="E19" s="124"/>
      <c r="F19" s="124"/>
      <c r="G19" s="124"/>
      <c r="H19" s="124"/>
      <c r="I19" s="124">
        <f>IF(($B$9=0),0,(($I$18*$B$9)*$A$2))</f>
        <v>11960</v>
      </c>
      <c r="J19" s="276"/>
      <c r="K19" s="124">
        <f>IF(($B$10=0),0,(($I$18*$B$10)*$A$2))</f>
        <v>47840</v>
      </c>
      <c r="L19" s="124"/>
      <c r="M19" s="251">
        <f>IF(($B$11=0),0,(($I$18*$B$11)*$A$2))</f>
        <v>59800</v>
      </c>
      <c r="N19" s="124"/>
      <c r="O19" s="191"/>
      <c r="P19" s="27"/>
      <c r="Q19" s="276"/>
      <c r="R19" s="276"/>
      <c r="S19" s="276"/>
      <c r="T19" s="276"/>
      <c r="U19" s="124">
        <f>IF(($B$9=0),0,(($U$18*$B$9)*$A$4))</f>
        <v>9568</v>
      </c>
      <c r="V19" s="124"/>
      <c r="W19" s="124">
        <f>IF(($B$10=0),0,(($U$18*$B$10)*$A$4))</f>
        <v>38272</v>
      </c>
      <c r="X19" s="124"/>
      <c r="Y19" s="251">
        <f>IF(($B$11=0),0,(($U$18*$B$11)*$A$4))</f>
        <v>47840</v>
      </c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</row>
    <row r="20" spans="1:35" ht="12.75" customHeight="1">
      <c r="A20" s="168"/>
      <c r="B20" s="168"/>
      <c r="C20" s="276" t="s">
        <v>99</v>
      </c>
      <c r="D20" s="124"/>
      <c r="E20" s="124"/>
      <c r="F20" s="124"/>
      <c r="G20" s="124"/>
      <c r="H20" s="124"/>
      <c r="I20" s="124"/>
      <c r="J20" s="124">
        <f>I19</f>
        <v>11960</v>
      </c>
      <c r="K20" s="124"/>
      <c r="L20" s="124">
        <f>K19</f>
        <v>47840</v>
      </c>
      <c r="M20" s="124"/>
      <c r="N20" s="251">
        <f>M19</f>
        <v>59800</v>
      </c>
      <c r="O20" s="191"/>
      <c r="P20" s="27"/>
      <c r="Q20" s="276"/>
      <c r="R20" s="276"/>
      <c r="S20" s="276"/>
      <c r="T20" s="276"/>
      <c r="U20" s="168"/>
      <c r="V20" s="124">
        <f>U19</f>
        <v>9568</v>
      </c>
      <c r="W20" s="124"/>
      <c r="X20" s="124">
        <f>W19</f>
        <v>38272</v>
      </c>
      <c r="Y20" s="124"/>
      <c r="Z20" s="251">
        <f>Y19</f>
        <v>47840</v>
      </c>
      <c r="AA20" s="168"/>
      <c r="AB20" s="168"/>
      <c r="AC20" s="168"/>
      <c r="AD20" s="168"/>
      <c r="AE20" s="168"/>
      <c r="AF20" s="168"/>
      <c r="AG20" s="168"/>
      <c r="AH20" s="168"/>
      <c r="AI20" s="168"/>
    </row>
    <row r="21" spans="1:35" ht="12.75" customHeight="1">
      <c r="A21" s="168" t="s">
        <v>111</v>
      </c>
      <c r="B21" s="202">
        <f>COUNTIF(D3:O38,"Fin")</f>
        <v>6</v>
      </c>
      <c r="C21" s="6" t="s">
        <v>112</v>
      </c>
      <c r="D21" s="124"/>
      <c r="E21" s="124"/>
      <c r="F21" s="124"/>
      <c r="G21" s="124"/>
      <c r="H21" s="124"/>
      <c r="I21" s="124"/>
      <c r="J21" s="124">
        <f>IF(('Tableau simu'!B9="Oui"),1,0)</f>
        <v>1</v>
      </c>
      <c r="K21" s="124"/>
      <c r="L21" s="124"/>
      <c r="M21" s="124"/>
      <c r="N21" s="124" t="s">
        <v>96</v>
      </c>
      <c r="O21" s="191"/>
      <c r="P21" s="27"/>
      <c r="Q21" s="276"/>
      <c r="R21" s="276"/>
      <c r="S21" s="276"/>
      <c r="T21" s="276"/>
      <c r="U21" s="168"/>
      <c r="V21" s="124">
        <f>IF(('Tableau simu'!C9="Oui"),1,0)</f>
        <v>1</v>
      </c>
      <c r="W21" s="168"/>
      <c r="X21" s="168"/>
      <c r="Y21" s="168"/>
      <c r="Z21" s="124" t="s">
        <v>96</v>
      </c>
      <c r="AA21" s="168"/>
      <c r="AB21" s="168"/>
      <c r="AC21" s="168"/>
      <c r="AD21" s="168"/>
      <c r="AE21" s="168"/>
      <c r="AF21" s="168"/>
      <c r="AG21" s="168"/>
      <c r="AH21" s="168"/>
      <c r="AI21" s="168"/>
    </row>
    <row r="22" spans="1:35" ht="12.75" customHeight="1">
      <c r="A22" s="168" t="s">
        <v>113</v>
      </c>
      <c r="B22" s="202">
        <f>COUNTIF(P3:AA38,"Fin")</f>
        <v>12</v>
      </c>
      <c r="C22" s="276" t="s">
        <v>101</v>
      </c>
      <c r="D22" s="124"/>
      <c r="E22" s="124"/>
      <c r="F22" s="124"/>
      <c r="G22" s="124"/>
      <c r="H22" s="124"/>
      <c r="I22" s="124"/>
      <c r="J22" s="124">
        <f>IF(($B$9=0),0,(($J$21*$B$9)*$A$2))</f>
        <v>11960</v>
      </c>
      <c r="K22" s="276"/>
      <c r="L22" s="124">
        <f>IF(($B$10=0),0,(($J$21*$B$10)*$A$2))</f>
        <v>47840</v>
      </c>
      <c r="M22" s="124"/>
      <c r="N22" s="251">
        <f>IF(($B$11=0),0,(($J$21*$B$11)*$A$2))</f>
        <v>59800</v>
      </c>
      <c r="O22" s="191"/>
      <c r="P22" s="27"/>
      <c r="Q22" s="276"/>
      <c r="R22" s="276"/>
      <c r="S22" s="276"/>
      <c r="T22" s="276"/>
      <c r="U22" s="168"/>
      <c r="V22" s="124">
        <f>IF(($B$9=0),0,(($V$21*$B$9)*$A$4))</f>
        <v>9568</v>
      </c>
      <c r="W22" s="124"/>
      <c r="X22" s="124">
        <f>IF(($B$10=0),0,(($V$21*$B$10)*$A$4))</f>
        <v>38272</v>
      </c>
      <c r="Y22" s="124"/>
      <c r="Z22" s="251">
        <f>IF(($B$11=0),0,(($V$21*$B$11)*$A$4))</f>
        <v>47840</v>
      </c>
      <c r="AA22" s="168"/>
      <c r="AB22" s="168"/>
      <c r="AC22" s="168"/>
      <c r="AD22" s="168"/>
      <c r="AE22" s="168"/>
      <c r="AF22" s="168"/>
      <c r="AG22" s="168"/>
      <c r="AH22" s="168"/>
      <c r="AI22" s="168"/>
    </row>
    <row r="23" spans="1:35" ht="12.75" customHeight="1">
      <c r="A23" s="168" t="s">
        <v>114</v>
      </c>
      <c r="B23" s="202">
        <f>COUNTIF(P41:AA77,"Fin")</f>
        <v>3</v>
      </c>
      <c r="C23" s="276" t="s">
        <v>99</v>
      </c>
      <c r="D23" s="124"/>
      <c r="E23" s="124"/>
      <c r="F23" s="124"/>
      <c r="G23" s="124"/>
      <c r="H23" s="124"/>
      <c r="I23" s="124"/>
      <c r="J23" s="124"/>
      <c r="K23" s="124">
        <f>J22</f>
        <v>11960</v>
      </c>
      <c r="L23" s="124"/>
      <c r="M23" s="124">
        <f>L22</f>
        <v>47840</v>
      </c>
      <c r="N23" s="124"/>
      <c r="O23" s="308">
        <f>N22</f>
        <v>59800</v>
      </c>
      <c r="P23" s="27"/>
      <c r="Q23" s="276"/>
      <c r="R23" s="276"/>
      <c r="S23" s="276"/>
      <c r="T23" s="276"/>
      <c r="U23" s="168"/>
      <c r="V23" s="168"/>
      <c r="W23" s="124">
        <f>V22</f>
        <v>9568</v>
      </c>
      <c r="X23" s="124"/>
      <c r="Y23" s="124">
        <f>X22</f>
        <v>38272</v>
      </c>
      <c r="Z23" s="124"/>
      <c r="AA23" s="308">
        <f>Z22</f>
        <v>47840</v>
      </c>
      <c r="AB23" s="89"/>
      <c r="AC23" s="168"/>
      <c r="AD23" s="168"/>
      <c r="AE23" s="168"/>
      <c r="AF23" s="168"/>
      <c r="AG23" s="168"/>
      <c r="AH23" s="168"/>
      <c r="AI23" s="168"/>
    </row>
    <row r="24" spans="1:35" ht="12.75" customHeight="1">
      <c r="A24" s="168"/>
      <c r="B24" s="168"/>
      <c r="C24" s="6" t="s">
        <v>115</v>
      </c>
      <c r="D24" s="124"/>
      <c r="E24" s="124"/>
      <c r="F24" s="124"/>
      <c r="G24" s="124"/>
      <c r="H24" s="124"/>
      <c r="I24" s="124"/>
      <c r="J24" s="124"/>
      <c r="K24" s="124">
        <f>IF(('Tableau simu'!B10="Oui"),1,0)</f>
        <v>1</v>
      </c>
      <c r="L24" s="124"/>
      <c r="M24" s="124"/>
      <c r="N24" s="124"/>
      <c r="O24" s="191" t="s">
        <v>96</v>
      </c>
      <c r="P24" s="27"/>
      <c r="Q24" s="276"/>
      <c r="R24" s="276"/>
      <c r="S24" s="276"/>
      <c r="T24" s="276"/>
      <c r="U24" s="168"/>
      <c r="V24" s="168"/>
      <c r="W24" s="124">
        <f>IF(('Tableau simu'!C10="Oui"),1,0)</f>
        <v>1</v>
      </c>
      <c r="X24" s="168"/>
      <c r="Y24" s="168"/>
      <c r="Z24" s="168"/>
      <c r="AA24" s="191" t="s">
        <v>96</v>
      </c>
      <c r="AB24" s="89"/>
      <c r="AC24" s="168"/>
      <c r="AD24" s="168"/>
      <c r="AE24" s="168"/>
      <c r="AF24" s="168"/>
      <c r="AG24" s="168"/>
      <c r="AH24" s="168"/>
      <c r="AI24" s="168"/>
    </row>
    <row r="25" spans="1:35" ht="12.75" customHeight="1">
      <c r="A25" s="168"/>
      <c r="B25" s="168"/>
      <c r="C25" s="276" t="s">
        <v>101</v>
      </c>
      <c r="D25" s="124"/>
      <c r="E25" s="124"/>
      <c r="F25" s="124"/>
      <c r="G25" s="124"/>
      <c r="H25" s="124"/>
      <c r="I25" s="124"/>
      <c r="J25" s="124"/>
      <c r="K25" s="124">
        <f>IF(($B$9=0),0,(($K$24*$B$9)*$A$2))</f>
        <v>11960</v>
      </c>
      <c r="L25" s="276"/>
      <c r="M25" s="124">
        <f>IF(($B$10=0),0,(($K$24*$B$10)*$A$2))</f>
        <v>47840</v>
      </c>
      <c r="N25" s="124"/>
      <c r="O25" s="308">
        <f>IF(($B$11=0),0,(($K$24*$B$11)*$A$2))</f>
        <v>59800</v>
      </c>
      <c r="P25" s="153"/>
      <c r="Q25" s="276"/>
      <c r="R25" s="276"/>
      <c r="S25" s="276"/>
      <c r="T25" s="276"/>
      <c r="U25" s="168"/>
      <c r="V25" s="168"/>
      <c r="W25" s="124">
        <f>IF(($B$9=0),0,(($W$24*$B$9)*$A$4))</f>
        <v>9568</v>
      </c>
      <c r="X25" s="124"/>
      <c r="Y25" s="124">
        <f>IF(($B$10=0),0,(($W$24*$B$10)*$A$4))</f>
        <v>38272</v>
      </c>
      <c r="Z25" s="124"/>
      <c r="AA25" s="308">
        <f>IF(($B$11=0),0,(($W$24*$B$11)*$A$4))</f>
        <v>47840</v>
      </c>
      <c r="AB25" s="89"/>
      <c r="AC25" s="168"/>
      <c r="AD25" s="168"/>
      <c r="AE25" s="168"/>
      <c r="AF25" s="168"/>
      <c r="AG25" s="168"/>
      <c r="AH25" s="168"/>
      <c r="AI25" s="168"/>
    </row>
    <row r="26" spans="1:35" ht="12.75" customHeight="1">
      <c r="A26" s="168"/>
      <c r="B26" s="168"/>
      <c r="C26" s="276" t="s">
        <v>99</v>
      </c>
      <c r="D26" s="124"/>
      <c r="E26" s="124"/>
      <c r="F26" s="124"/>
      <c r="G26" s="124"/>
      <c r="H26" s="124"/>
      <c r="I26" s="124"/>
      <c r="J26" s="124"/>
      <c r="K26" s="124"/>
      <c r="L26" s="124">
        <f>K25</f>
        <v>11960</v>
      </c>
      <c r="M26" s="124"/>
      <c r="N26" s="124">
        <f>M25</f>
        <v>47840</v>
      </c>
      <c r="O26" s="191"/>
      <c r="P26" s="397">
        <f>O25</f>
        <v>59800</v>
      </c>
      <c r="Q26" s="276"/>
      <c r="R26" s="276"/>
      <c r="S26" s="276"/>
      <c r="T26" s="276"/>
      <c r="U26" s="168"/>
      <c r="V26" s="168"/>
      <c r="W26" s="168"/>
      <c r="X26" s="124">
        <f>W25</f>
        <v>9568</v>
      </c>
      <c r="Y26" s="124"/>
      <c r="Z26" s="124">
        <f>Y25</f>
        <v>38272</v>
      </c>
      <c r="AA26" s="191"/>
      <c r="AB26" s="397">
        <f>AA25</f>
        <v>47840</v>
      </c>
      <c r="AC26" s="168"/>
      <c r="AD26" s="168"/>
      <c r="AE26" s="168"/>
      <c r="AF26" s="168"/>
      <c r="AG26" s="168"/>
      <c r="AH26" s="168"/>
      <c r="AI26" s="168"/>
    </row>
    <row r="27" spans="1:35" ht="12.75" customHeight="1">
      <c r="A27" s="168"/>
      <c r="B27" s="168"/>
      <c r="C27" s="6" t="s">
        <v>116</v>
      </c>
      <c r="D27" s="124"/>
      <c r="E27" s="124"/>
      <c r="F27" s="124"/>
      <c r="G27" s="124"/>
      <c r="H27" s="124"/>
      <c r="I27" s="124"/>
      <c r="J27" s="124"/>
      <c r="K27" s="124"/>
      <c r="L27" s="124">
        <f>IF(('Tableau simu'!B11="Oui"),1,0)</f>
        <v>1</v>
      </c>
      <c r="M27" s="124"/>
      <c r="N27" s="124"/>
      <c r="O27" s="191"/>
      <c r="P27" s="153" t="s">
        <v>96</v>
      </c>
      <c r="Q27" s="276"/>
      <c r="R27" s="276"/>
      <c r="S27" s="276"/>
      <c r="T27" s="276"/>
      <c r="U27" s="168"/>
      <c r="V27" s="168"/>
      <c r="W27" s="168"/>
      <c r="X27" s="124">
        <f>IF(('Tableau simu'!C11="Oui"),1,0)</f>
        <v>1</v>
      </c>
      <c r="Y27" s="168"/>
      <c r="Z27" s="168"/>
      <c r="AA27" s="168"/>
      <c r="AB27" s="124" t="s">
        <v>96</v>
      </c>
      <c r="AC27" s="168"/>
      <c r="AD27" s="168"/>
      <c r="AE27" s="168"/>
      <c r="AF27" s="168"/>
      <c r="AG27" s="168"/>
      <c r="AH27" s="168"/>
      <c r="AI27" s="168"/>
    </row>
    <row r="28" spans="1:35" ht="12.75" customHeight="1">
      <c r="A28" s="168"/>
      <c r="B28" s="168"/>
      <c r="C28" s="276" t="s">
        <v>101</v>
      </c>
      <c r="D28" s="124"/>
      <c r="E28" s="124"/>
      <c r="F28" s="124"/>
      <c r="G28" s="124"/>
      <c r="H28" s="124"/>
      <c r="I28" s="124"/>
      <c r="J28" s="124"/>
      <c r="K28" s="124"/>
      <c r="L28" s="124">
        <f>IF(($B$9=0),0,(($L$27*$B$9)*$A$2))</f>
        <v>11960</v>
      </c>
      <c r="M28" s="276"/>
      <c r="N28" s="124">
        <f>IF(($B$10=0),0,(($L$27*$B$10)*$A$2))</f>
        <v>47840</v>
      </c>
      <c r="O28" s="191"/>
      <c r="P28" s="397">
        <f>IF(($B$11=0),0,(($L$27*$B$11)*$A$2))</f>
        <v>59800</v>
      </c>
      <c r="Q28" s="124"/>
      <c r="R28" s="276"/>
      <c r="S28" s="276"/>
      <c r="T28" s="276"/>
      <c r="U28" s="168"/>
      <c r="V28" s="168"/>
      <c r="W28" s="168"/>
      <c r="X28" s="124">
        <f>IF(($B$9=0),0,(($X$27*$B$9)*$A$4))</f>
        <v>9568</v>
      </c>
      <c r="Y28" s="124"/>
      <c r="Z28" s="124">
        <f>IF(($B$10=0),0,(($X$27*$B$10)*$A$4))</f>
        <v>38272</v>
      </c>
      <c r="AA28" s="191"/>
      <c r="AB28" s="397">
        <f>IF(($B$11=0),0,(($X$27*$B$11)*$A$4))</f>
        <v>47840</v>
      </c>
      <c r="AC28" s="168"/>
      <c r="AD28" s="168"/>
      <c r="AE28" s="168"/>
      <c r="AF28" s="168"/>
      <c r="AG28" s="168"/>
      <c r="AH28" s="168"/>
      <c r="AI28" s="168"/>
    </row>
    <row r="29" spans="1:35" ht="12.75" customHeight="1">
      <c r="A29" s="6"/>
      <c r="B29" s="168"/>
      <c r="C29" s="276" t="s">
        <v>99</v>
      </c>
      <c r="D29" s="124"/>
      <c r="E29" s="124"/>
      <c r="F29" s="124"/>
      <c r="G29" s="124"/>
      <c r="H29" s="124"/>
      <c r="I29" s="124"/>
      <c r="J29" s="124"/>
      <c r="K29" s="124"/>
      <c r="L29" s="124"/>
      <c r="M29" s="124">
        <f>L28</f>
        <v>11960</v>
      </c>
      <c r="N29" s="124"/>
      <c r="O29" s="191">
        <f>N28</f>
        <v>47840</v>
      </c>
      <c r="P29" s="153"/>
      <c r="Q29" s="251">
        <f>P28</f>
        <v>59800</v>
      </c>
      <c r="R29" s="276"/>
      <c r="S29" s="276"/>
      <c r="T29" s="276"/>
      <c r="U29" s="168"/>
      <c r="V29" s="168"/>
      <c r="W29" s="168"/>
      <c r="X29" s="168"/>
      <c r="Y29" s="124">
        <f>X28</f>
        <v>9568</v>
      </c>
      <c r="Z29" s="124"/>
      <c r="AA29" s="191">
        <f>Z28</f>
        <v>38272</v>
      </c>
      <c r="AB29" s="153"/>
      <c r="AC29" s="251">
        <f>AB28</f>
        <v>47840</v>
      </c>
      <c r="AD29" s="168"/>
      <c r="AE29" s="168"/>
      <c r="AF29" s="168"/>
      <c r="AG29" s="168"/>
      <c r="AH29" s="168"/>
      <c r="AI29" s="168"/>
    </row>
    <row r="30" spans="1:35" ht="12.75" customHeight="1">
      <c r="A30" s="168"/>
      <c r="B30" s="168"/>
      <c r="C30" s="6" t="s">
        <v>117</v>
      </c>
      <c r="D30" s="124"/>
      <c r="E30" s="124"/>
      <c r="F30" s="124"/>
      <c r="G30" s="124"/>
      <c r="H30" s="124"/>
      <c r="I30" s="124"/>
      <c r="J30" s="124"/>
      <c r="K30" s="124"/>
      <c r="L30" s="124"/>
      <c r="M30" s="124">
        <f>IF(('Tableau simu'!B12="Oui"),1,0)</f>
        <v>1</v>
      </c>
      <c r="N30" s="124"/>
      <c r="O30" s="191"/>
      <c r="P30" s="27"/>
      <c r="Q30" s="124" t="s">
        <v>96</v>
      </c>
      <c r="R30" s="276"/>
      <c r="S30" s="276"/>
      <c r="T30" s="276"/>
      <c r="U30" s="168"/>
      <c r="V30" s="168"/>
      <c r="W30" s="168"/>
      <c r="X30" s="168"/>
      <c r="Y30" s="124">
        <f>IF(('Tableau simu'!C12="Oui"),1,0)</f>
        <v>1</v>
      </c>
      <c r="Z30" s="168"/>
      <c r="AA30" s="168"/>
      <c r="AB30" s="168"/>
      <c r="AC30" s="124" t="s">
        <v>96</v>
      </c>
      <c r="AD30" s="168"/>
      <c r="AE30" s="168"/>
      <c r="AF30" s="168"/>
      <c r="AG30" s="168"/>
      <c r="AH30" s="168"/>
      <c r="AI30" s="168"/>
    </row>
    <row r="31" spans="1:35" ht="12.75" customHeight="1">
      <c r="A31" s="168"/>
      <c r="B31" s="168"/>
      <c r="C31" s="276" t="s">
        <v>101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>
        <f>IF(($B$9=0),0,(($M$30*$B$9)*$A$2))</f>
        <v>11960</v>
      </c>
      <c r="N31" s="276"/>
      <c r="O31" s="191">
        <f>IF(($B$10=0),0,(($M$30*$B$10)*$A$2))</f>
        <v>47840</v>
      </c>
      <c r="P31" s="153"/>
      <c r="Q31" s="251">
        <f>IF(($B$11=0),0,(($M$30*$B$11)*$A$2))</f>
        <v>59800</v>
      </c>
      <c r="R31" s="124"/>
      <c r="S31" s="276"/>
      <c r="T31" s="276"/>
      <c r="U31" s="168"/>
      <c r="V31" s="168"/>
      <c r="W31" s="168"/>
      <c r="X31" s="168"/>
      <c r="Y31" s="124">
        <f>IF(($B$9=0),0,(($Y$30*$B$9)*$A$4))</f>
        <v>9568</v>
      </c>
      <c r="Z31" s="124"/>
      <c r="AA31" s="191">
        <f>IF(($B$10=0),0,(($Y$30*$B$10)*$A$4))</f>
        <v>38272</v>
      </c>
      <c r="AB31" s="153"/>
      <c r="AC31" s="251">
        <f>IF(($B$11=0),0,(($Y$30*$B$11)*$A$4))</f>
        <v>47840</v>
      </c>
      <c r="AD31" s="168"/>
      <c r="AE31" s="168"/>
      <c r="AF31" s="168"/>
      <c r="AG31" s="168"/>
      <c r="AH31" s="168"/>
      <c r="AI31" s="168"/>
    </row>
    <row r="32" spans="1:35" ht="12.75" customHeight="1">
      <c r="A32" s="168"/>
      <c r="B32" s="168"/>
      <c r="C32" s="276" t="s">
        <v>99</v>
      </c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>
        <f>M31</f>
        <v>11960</v>
      </c>
      <c r="O32" s="191"/>
      <c r="P32" s="153">
        <f>O31</f>
        <v>47840</v>
      </c>
      <c r="Q32" s="124"/>
      <c r="R32" s="251">
        <f>Q31</f>
        <v>59800</v>
      </c>
      <c r="S32" s="276"/>
      <c r="T32" s="276"/>
      <c r="U32" s="168"/>
      <c r="V32" s="168"/>
      <c r="W32" s="168"/>
      <c r="X32" s="168"/>
      <c r="Y32" s="168"/>
      <c r="Z32" s="124">
        <f>Y31</f>
        <v>9568</v>
      </c>
      <c r="AA32" s="191"/>
      <c r="AB32" s="153">
        <f>AA31</f>
        <v>38272</v>
      </c>
      <c r="AC32" s="124"/>
      <c r="AD32" s="251">
        <f>AC31</f>
        <v>47840</v>
      </c>
      <c r="AE32" s="168"/>
      <c r="AF32" s="168"/>
      <c r="AG32" s="168"/>
      <c r="AH32" s="168"/>
      <c r="AI32" s="168"/>
    </row>
    <row r="33" spans="1:35" ht="12.75" customHeight="1">
      <c r="A33" s="168"/>
      <c r="B33" s="168"/>
      <c r="C33" s="6" t="s">
        <v>118</v>
      </c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>
        <f>IF(('Tableau simu'!B13="Oui"),1,0)</f>
        <v>1</v>
      </c>
      <c r="O33" s="191"/>
      <c r="P33" s="27"/>
      <c r="Q33" s="276"/>
      <c r="R33" s="124" t="s">
        <v>96</v>
      </c>
      <c r="S33" s="276"/>
      <c r="T33" s="276"/>
      <c r="U33" s="168"/>
      <c r="V33" s="168"/>
      <c r="W33" s="168"/>
      <c r="X33" s="168"/>
      <c r="Y33" s="168"/>
      <c r="Z33" s="124">
        <f>IF(('Tableau simu'!C13="Oui"),1,0)</f>
        <v>1</v>
      </c>
      <c r="AA33" s="168"/>
      <c r="AB33" s="168"/>
      <c r="AC33" s="168"/>
      <c r="AD33" s="124" t="s">
        <v>96</v>
      </c>
      <c r="AE33" s="168"/>
      <c r="AF33" s="168"/>
      <c r="AG33" s="168"/>
      <c r="AH33" s="168"/>
      <c r="AI33" s="168"/>
    </row>
    <row r="34" spans="1:35" ht="12.75" customHeight="1">
      <c r="A34" s="168"/>
      <c r="B34" s="168"/>
      <c r="C34" s="276" t="s">
        <v>101</v>
      </c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>
        <f>IF(($B$9=0),0,(($N$33*$B$9)*$A$2))</f>
        <v>11960</v>
      </c>
      <c r="O34" s="104"/>
      <c r="P34" s="153">
        <f>IF(($B$10=0),0,(($N$33*$B$10)*$A$2))</f>
        <v>47840</v>
      </c>
      <c r="Q34" s="124"/>
      <c r="R34" s="251">
        <f>IF(($B$11=0),0,(($N$33*$B$11)*$A$2))</f>
        <v>59800</v>
      </c>
      <c r="S34" s="124"/>
      <c r="T34" s="276"/>
      <c r="U34" s="168"/>
      <c r="V34" s="168"/>
      <c r="W34" s="168"/>
      <c r="X34" s="168"/>
      <c r="Y34" s="168"/>
      <c r="Z34" s="124">
        <f>IF(($B$9=0),0,(($Z$33*$B$9)*$A$4))</f>
        <v>9568</v>
      </c>
      <c r="AA34" s="191"/>
      <c r="AB34" s="153">
        <f>IF(($B$10=0),0,(($Z$33*$B$10)*$A$4))</f>
        <v>38272</v>
      </c>
      <c r="AC34" s="124"/>
      <c r="AD34" s="251">
        <f>IF(($B$11=0),0,(($Z$33*$B$11)*$A$4))</f>
        <v>47840</v>
      </c>
      <c r="AE34" s="168"/>
      <c r="AF34" s="168"/>
      <c r="AG34" s="168"/>
      <c r="AH34" s="168"/>
      <c r="AI34" s="168"/>
    </row>
    <row r="35" spans="1:35" ht="12.75" customHeight="1">
      <c r="A35" s="168"/>
      <c r="B35" s="168"/>
      <c r="C35" s="276" t="s">
        <v>99</v>
      </c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91">
        <f>N34</f>
        <v>11960</v>
      </c>
      <c r="P35" s="153"/>
      <c r="Q35" s="124">
        <f>P34</f>
        <v>47840</v>
      </c>
      <c r="R35" s="124"/>
      <c r="S35" s="251">
        <f>R34</f>
        <v>59800</v>
      </c>
      <c r="T35" s="276"/>
      <c r="U35" s="168"/>
      <c r="V35" s="168"/>
      <c r="W35" s="168"/>
      <c r="X35" s="168"/>
      <c r="Y35" s="168"/>
      <c r="Z35" s="168"/>
      <c r="AA35" s="191">
        <f>Z34</f>
        <v>9568</v>
      </c>
      <c r="AB35" s="153"/>
      <c r="AC35" s="124">
        <f>AB34</f>
        <v>38272</v>
      </c>
      <c r="AD35" s="124"/>
      <c r="AE35" s="251">
        <f>AD34</f>
        <v>47840</v>
      </c>
      <c r="AF35" s="168"/>
      <c r="AG35" s="168"/>
      <c r="AH35" s="168"/>
      <c r="AI35" s="168"/>
    </row>
    <row r="36" spans="1:35" ht="12.75" customHeight="1">
      <c r="A36" s="168"/>
      <c r="B36" s="168"/>
      <c r="C36" s="6" t="s">
        <v>119</v>
      </c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91">
        <f>IF(('Tableau simu'!B14="Oui"),1,0)</f>
        <v>1</v>
      </c>
      <c r="P36" s="27"/>
      <c r="Q36" s="276"/>
      <c r="R36" s="276"/>
      <c r="S36" s="124" t="s">
        <v>96</v>
      </c>
      <c r="T36" s="276"/>
      <c r="U36" s="168"/>
      <c r="V36" s="168"/>
      <c r="W36" s="168"/>
      <c r="X36" s="168"/>
      <c r="Y36" s="168"/>
      <c r="Z36" s="168"/>
      <c r="AA36" s="191">
        <f>IF(('Tableau simu'!C14="Oui"),1,0)</f>
        <v>1</v>
      </c>
      <c r="AB36" s="89"/>
      <c r="AC36" s="168"/>
      <c r="AD36" s="168"/>
      <c r="AE36" s="124" t="s">
        <v>96</v>
      </c>
      <c r="AF36" s="168"/>
      <c r="AG36" s="168"/>
      <c r="AH36" s="168"/>
      <c r="AI36" s="168"/>
    </row>
    <row r="37" spans="1:35" ht="12.75" customHeight="1">
      <c r="A37" s="168"/>
      <c r="B37" s="168"/>
      <c r="C37" s="276" t="s">
        <v>101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91">
        <f>IF(($B$9=0),0,(($O$36*$B$9)*$A$2))</f>
        <v>11960</v>
      </c>
      <c r="P37" s="27"/>
      <c r="Q37" s="124">
        <f>IF(($B$10=0),0,(($O$36*$B$10)*$A$2))</f>
        <v>47840</v>
      </c>
      <c r="R37" s="124"/>
      <c r="S37" s="251">
        <f>IF(($B$11=0),0,(($O$36*$B$11)*$A$2))</f>
        <v>59800</v>
      </c>
      <c r="T37" s="124"/>
      <c r="U37" s="168"/>
      <c r="V37" s="168"/>
      <c r="W37" s="168"/>
      <c r="X37" s="168"/>
      <c r="Y37" s="168"/>
      <c r="Z37" s="168"/>
      <c r="AA37" s="191">
        <f>IF(($B$9=0),0,(($AA$36*$B$9)*$A$4))</f>
        <v>9568</v>
      </c>
      <c r="AB37" s="153"/>
      <c r="AC37" s="124">
        <f>IF(($B$10=0),0,(($AA$36*$B$10)*$A$4))</f>
        <v>38272</v>
      </c>
      <c r="AD37" s="124"/>
      <c r="AE37" s="251">
        <f>IF(($B$11=0),0,(($AA$36*$B$11)*$A$4))</f>
        <v>47840</v>
      </c>
      <c r="AF37" s="168"/>
      <c r="AG37" s="168"/>
      <c r="AH37" s="168"/>
      <c r="AI37" s="168"/>
    </row>
    <row r="38" spans="1:35" ht="12.75" customHeight="1">
      <c r="A38" s="168"/>
      <c r="B38" s="168"/>
      <c r="C38" s="276" t="s">
        <v>99</v>
      </c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91"/>
      <c r="P38" s="153">
        <f>O37</f>
        <v>11960</v>
      </c>
      <c r="Q38" s="124"/>
      <c r="R38" s="124">
        <f>Q37</f>
        <v>47840</v>
      </c>
      <c r="S38" s="124"/>
      <c r="T38" s="251">
        <f>S37</f>
        <v>59800</v>
      </c>
      <c r="U38" s="168"/>
      <c r="V38" s="168"/>
      <c r="W38" s="168"/>
      <c r="X38" s="168"/>
      <c r="Y38" s="168"/>
      <c r="Z38" s="168"/>
      <c r="AA38" s="168"/>
      <c r="AB38" s="124">
        <f>AA37</f>
        <v>9568</v>
      </c>
      <c r="AC38" s="124"/>
      <c r="AD38" s="124">
        <f>AC37</f>
        <v>38272</v>
      </c>
      <c r="AE38" s="124"/>
      <c r="AF38" s="251">
        <f>AE37</f>
        <v>47840</v>
      </c>
      <c r="AG38" s="168"/>
      <c r="AH38" s="168"/>
      <c r="AI38" s="168"/>
    </row>
    <row r="39" spans="1:35" ht="12.75" customHeight="1">
      <c r="A39" s="168"/>
      <c r="B39" s="168"/>
      <c r="C39" s="276" t="s">
        <v>120</v>
      </c>
      <c r="D39" s="13">
        <f t="shared" ref="D39:AG39" si="0">((((((((((D4+D7)+D10)+D13)+D16)+D19)+D22)+D25)+D28)+D31)+D34)+D37</f>
        <v>0</v>
      </c>
      <c r="E39" s="13">
        <f t="shared" si="0"/>
        <v>0</v>
      </c>
      <c r="F39" s="13">
        <f t="shared" si="0"/>
        <v>11960</v>
      </c>
      <c r="G39" s="13">
        <f t="shared" si="0"/>
        <v>11960</v>
      </c>
      <c r="H39" s="13">
        <f t="shared" si="0"/>
        <v>59800</v>
      </c>
      <c r="I39" s="13">
        <f t="shared" si="0"/>
        <v>59800</v>
      </c>
      <c r="J39" s="13">
        <f t="shared" si="0"/>
        <v>119600</v>
      </c>
      <c r="K39" s="13">
        <f t="shared" si="0"/>
        <v>119600</v>
      </c>
      <c r="L39" s="13">
        <f t="shared" si="0"/>
        <v>119600</v>
      </c>
      <c r="M39" s="13">
        <f t="shared" si="0"/>
        <v>119600</v>
      </c>
      <c r="N39" s="13">
        <f t="shared" si="0"/>
        <v>119600</v>
      </c>
      <c r="O39" s="306">
        <f t="shared" si="0"/>
        <v>119600</v>
      </c>
      <c r="P39" s="159">
        <f>((((((((((P4+P7)+P10)+P13)+P16)+P19)+P22)+P25)+P28)+P31)+P34)+P37</f>
        <v>117208</v>
      </c>
      <c r="Q39" s="13">
        <f t="shared" si="0"/>
        <v>117208</v>
      </c>
      <c r="R39" s="13">
        <f t="shared" si="0"/>
        <v>107640</v>
      </c>
      <c r="S39" s="13">
        <f t="shared" si="0"/>
        <v>107640</v>
      </c>
      <c r="T39" s="13">
        <f t="shared" si="0"/>
        <v>95680</v>
      </c>
      <c r="U39" s="13">
        <f t="shared" si="0"/>
        <v>95680</v>
      </c>
      <c r="V39" s="13">
        <f t="shared" si="0"/>
        <v>95680</v>
      </c>
      <c r="W39" s="13">
        <f t="shared" si="0"/>
        <v>95680</v>
      </c>
      <c r="X39" s="13">
        <f t="shared" si="0"/>
        <v>95680</v>
      </c>
      <c r="Y39" s="13">
        <f t="shared" si="0"/>
        <v>95680</v>
      </c>
      <c r="Z39" s="13">
        <f t="shared" si="0"/>
        <v>95680</v>
      </c>
      <c r="AA39" s="306">
        <f t="shared" si="0"/>
        <v>95680</v>
      </c>
      <c r="AB39" s="159">
        <f t="shared" si="0"/>
        <v>86112</v>
      </c>
      <c r="AC39" s="13">
        <f t="shared" si="0"/>
        <v>86112</v>
      </c>
      <c r="AD39" s="13">
        <f t="shared" si="0"/>
        <v>47840</v>
      </c>
      <c r="AE39" s="13">
        <f t="shared" si="0"/>
        <v>47840</v>
      </c>
      <c r="AF39" s="13">
        <f t="shared" si="0"/>
        <v>0</v>
      </c>
      <c r="AG39" s="13">
        <f t="shared" si="0"/>
        <v>0</v>
      </c>
      <c r="AH39" s="168"/>
      <c r="AI39" s="168"/>
    </row>
    <row r="40" spans="1:35" ht="12.75" customHeight="1">
      <c r="A40" s="168"/>
      <c r="B40" s="168"/>
      <c r="C40" s="276" t="s">
        <v>121</v>
      </c>
      <c r="D40" s="13">
        <f t="shared" ref="D40:AG40" si="1">((((((((((D5+D8)+D11)+D14)+D17)+D20)+D23)+D26)+D29)+D32)+D35)+D38</f>
        <v>0</v>
      </c>
      <c r="E40" s="13">
        <f t="shared" si="1"/>
        <v>0</v>
      </c>
      <c r="F40" s="13">
        <f t="shared" si="1"/>
        <v>0</v>
      </c>
      <c r="G40" s="13">
        <f t="shared" si="1"/>
        <v>11960</v>
      </c>
      <c r="H40" s="13">
        <f t="shared" si="1"/>
        <v>11960</v>
      </c>
      <c r="I40" s="13">
        <f t="shared" si="1"/>
        <v>59800</v>
      </c>
      <c r="J40" s="13">
        <f t="shared" si="1"/>
        <v>59800</v>
      </c>
      <c r="K40" s="13">
        <f t="shared" si="1"/>
        <v>119600</v>
      </c>
      <c r="L40" s="13">
        <f t="shared" si="1"/>
        <v>119600</v>
      </c>
      <c r="M40" s="13">
        <f t="shared" si="1"/>
        <v>119600</v>
      </c>
      <c r="N40" s="13">
        <f t="shared" si="1"/>
        <v>119600</v>
      </c>
      <c r="O40" s="306">
        <f t="shared" si="1"/>
        <v>119600</v>
      </c>
      <c r="P40" s="159">
        <f>((((((((((P5+P8)+P11)+P14)+P17)+P20)+P23)+P26)+P29)+P32)+P35)+P38</f>
        <v>119600</v>
      </c>
      <c r="Q40" s="13">
        <f t="shared" si="1"/>
        <v>117208</v>
      </c>
      <c r="R40" s="13">
        <f t="shared" si="1"/>
        <v>117208</v>
      </c>
      <c r="S40" s="13">
        <f t="shared" si="1"/>
        <v>107640</v>
      </c>
      <c r="T40" s="13">
        <f t="shared" si="1"/>
        <v>107640</v>
      </c>
      <c r="U40" s="13">
        <f t="shared" si="1"/>
        <v>95680</v>
      </c>
      <c r="V40" s="13">
        <f t="shared" si="1"/>
        <v>95680</v>
      </c>
      <c r="W40" s="13">
        <f t="shared" si="1"/>
        <v>95680</v>
      </c>
      <c r="X40" s="13">
        <f t="shared" si="1"/>
        <v>95680</v>
      </c>
      <c r="Y40" s="13">
        <f t="shared" si="1"/>
        <v>95680</v>
      </c>
      <c r="Z40" s="13">
        <f t="shared" si="1"/>
        <v>95680</v>
      </c>
      <c r="AA40" s="306">
        <f t="shared" si="1"/>
        <v>95680</v>
      </c>
      <c r="AB40" s="159">
        <f t="shared" si="1"/>
        <v>95680</v>
      </c>
      <c r="AC40" s="13">
        <f t="shared" si="1"/>
        <v>86112</v>
      </c>
      <c r="AD40" s="13">
        <f t="shared" si="1"/>
        <v>86112</v>
      </c>
      <c r="AE40" s="13">
        <f t="shared" si="1"/>
        <v>47840</v>
      </c>
      <c r="AF40" s="13">
        <f t="shared" si="1"/>
        <v>47840</v>
      </c>
      <c r="AG40" s="13">
        <f t="shared" si="1"/>
        <v>0</v>
      </c>
      <c r="AH40" s="13">
        <f>((((((((((AH5+AH8)+AH11)+AH14)+AH17)+AH20)+AH23)+AH26)+AH29)+AH32)+AH35)+AH38</f>
        <v>0</v>
      </c>
      <c r="AI40" s="13">
        <f>((((((((((AI5+AI8)+AI11)+AI14)+AI17)+AI20)+AI23)+AI26)+AI29)+AI32)+AI35)+AI38</f>
        <v>0</v>
      </c>
    </row>
    <row r="41" spans="1:35" ht="12.75" customHeight="1">
      <c r="A41" s="168"/>
      <c r="B41" s="168"/>
      <c r="C41" s="5" t="s">
        <v>122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</row>
    <row r="42" spans="1:35" ht="12.75" customHeight="1">
      <c r="A42" s="168"/>
      <c r="B42" s="168"/>
      <c r="C42" s="6" t="s">
        <v>95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376">
        <f>IF(('Tableau simu'!D3="Oui"),1,0)</f>
        <v>0</v>
      </c>
      <c r="Q42" s="168"/>
      <c r="R42" s="168"/>
      <c r="S42" s="168"/>
      <c r="T42" s="168"/>
      <c r="U42" s="124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</row>
    <row r="43" spans="1:35" ht="12.75" customHeight="1">
      <c r="A43" s="168"/>
      <c r="B43" s="168"/>
      <c r="C43" s="276" t="s">
        <v>97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251">
        <f>IF(($B$9=0),0,(($P$42*$B$9)*$A$6))</f>
        <v>0</v>
      </c>
      <c r="Q43" s="13"/>
      <c r="R43" s="13"/>
      <c r="S43" s="251">
        <f>IF(($B$10=0),0,(($P$42*$B$10)*$A$6))</f>
        <v>0</v>
      </c>
      <c r="T43" s="13"/>
      <c r="U43" s="251">
        <f>IF(($B$11=0),0,(($P$42*$B$11)*$A$6))</f>
        <v>0</v>
      </c>
      <c r="V43" s="13"/>
      <c r="W43" s="13"/>
      <c r="X43" s="13"/>
      <c r="Y43" s="13"/>
      <c r="Z43" s="13"/>
      <c r="AA43" s="306"/>
      <c r="AB43" s="159"/>
      <c r="AC43" s="13"/>
      <c r="AD43" s="13"/>
      <c r="AE43" s="168"/>
      <c r="AF43" s="168"/>
      <c r="AG43" s="168"/>
      <c r="AH43" s="168"/>
      <c r="AI43" s="168"/>
    </row>
    <row r="44" spans="1:35" ht="12.75" customHeight="1">
      <c r="A44" s="168"/>
      <c r="B44" s="168"/>
      <c r="C44" s="276" t="s">
        <v>99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3"/>
      <c r="Q44" s="13">
        <f>P43</f>
        <v>0</v>
      </c>
      <c r="R44" s="13"/>
      <c r="S44" s="13"/>
      <c r="T44" s="13">
        <f>S43</f>
        <v>0</v>
      </c>
      <c r="U44" s="13"/>
      <c r="V44" s="13">
        <f>U43</f>
        <v>0</v>
      </c>
      <c r="W44" s="13"/>
      <c r="X44" s="13"/>
      <c r="Y44" s="13"/>
      <c r="Z44" s="13"/>
      <c r="AA44" s="306"/>
      <c r="AB44" s="159"/>
      <c r="AC44" s="13"/>
      <c r="AD44" s="13"/>
      <c r="AE44" s="168"/>
      <c r="AF44" s="168"/>
      <c r="AG44" s="168"/>
      <c r="AH44" s="168"/>
      <c r="AI44" s="168"/>
    </row>
    <row r="45" spans="1:35" ht="12.75" customHeight="1">
      <c r="A45" s="168"/>
      <c r="B45" s="168"/>
      <c r="C45" s="6" t="s">
        <v>100</v>
      </c>
      <c r="D45" s="168"/>
      <c r="E45" s="168"/>
      <c r="F45" s="168"/>
      <c r="G45" s="168"/>
      <c r="H45" s="6"/>
      <c r="I45" s="6"/>
      <c r="J45" s="6"/>
      <c r="K45" s="6"/>
      <c r="L45" s="6"/>
      <c r="M45" s="6"/>
      <c r="N45" s="6"/>
      <c r="O45" s="281"/>
      <c r="P45" s="159"/>
      <c r="Q45" s="376">
        <f>IF(('Tableau simu'!D4="Oui"),1,0)</f>
        <v>1</v>
      </c>
      <c r="R45" s="13"/>
      <c r="S45" s="13"/>
      <c r="T45" s="13"/>
      <c r="U45" s="13"/>
      <c r="V45" s="251" t="s">
        <v>96</v>
      </c>
      <c r="W45" s="13"/>
      <c r="X45" s="13"/>
      <c r="Y45" s="13"/>
      <c r="Z45" s="13"/>
      <c r="AA45" s="306"/>
      <c r="AB45" s="159"/>
      <c r="AC45" s="13"/>
      <c r="AD45" s="13"/>
      <c r="AE45" s="168"/>
      <c r="AF45" s="168"/>
      <c r="AG45" s="168"/>
      <c r="AH45" s="168"/>
      <c r="AI45" s="168"/>
    </row>
    <row r="46" spans="1:35" ht="12.75" customHeight="1">
      <c r="A46" s="168"/>
      <c r="B46" s="168"/>
      <c r="C46" s="276" t="s">
        <v>101</v>
      </c>
      <c r="D46" s="168"/>
      <c r="E46" s="168"/>
      <c r="F46" s="168"/>
      <c r="G46" s="168"/>
      <c r="H46" s="6"/>
      <c r="I46" s="6"/>
      <c r="J46" s="6"/>
      <c r="K46" s="6"/>
      <c r="L46" s="6"/>
      <c r="M46" s="6"/>
      <c r="N46" s="6"/>
      <c r="O46" s="281"/>
      <c r="P46" s="159"/>
      <c r="Q46" s="251">
        <f>IF(($B$9=0),0,(($Q$45*$B$9)*$A$6))</f>
        <v>14352</v>
      </c>
      <c r="R46" s="13"/>
      <c r="S46" s="13"/>
      <c r="T46" s="251">
        <f>IF(($B$10=0),0,(($Q$45*$B$10)*$A$6))</f>
        <v>57408</v>
      </c>
      <c r="U46" s="13"/>
      <c r="V46" s="251">
        <f>IF(($B$11=0),0,(($Q$45*$B$11)*$A$6))</f>
        <v>71760</v>
      </c>
      <c r="W46" s="13"/>
      <c r="X46" s="13"/>
      <c r="Y46" s="13"/>
      <c r="Z46" s="13"/>
      <c r="AA46" s="306"/>
      <c r="AB46" s="159"/>
      <c r="AC46" s="13"/>
      <c r="AD46" s="13"/>
      <c r="AE46" s="168"/>
      <c r="AF46" s="168"/>
      <c r="AG46" s="168"/>
      <c r="AH46" s="168"/>
      <c r="AI46" s="168"/>
    </row>
    <row r="47" spans="1:35" ht="12.75" customHeight="1">
      <c r="A47" s="168"/>
      <c r="B47" s="168"/>
      <c r="C47" s="276" t="s">
        <v>99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3"/>
      <c r="Q47" s="13"/>
      <c r="R47" s="13">
        <f>Q46</f>
        <v>14352</v>
      </c>
      <c r="S47" s="13"/>
      <c r="T47" s="13"/>
      <c r="U47" s="13">
        <f>T46</f>
        <v>57408</v>
      </c>
      <c r="V47" s="13"/>
      <c r="W47" s="13">
        <f>V46</f>
        <v>71760</v>
      </c>
      <c r="X47" s="13"/>
      <c r="Y47" s="13"/>
      <c r="Z47" s="13"/>
      <c r="AA47" s="306"/>
      <c r="AB47" s="159"/>
      <c r="AC47" s="13"/>
      <c r="AD47" s="13"/>
      <c r="AE47" s="168"/>
      <c r="AF47" s="168"/>
      <c r="AG47" s="168"/>
      <c r="AH47" s="168"/>
      <c r="AI47" s="168"/>
    </row>
    <row r="48" spans="1:35" ht="12.75" customHeight="1">
      <c r="A48" s="168"/>
      <c r="B48" s="168"/>
      <c r="C48" s="6" t="s">
        <v>104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3"/>
      <c r="Q48" s="13"/>
      <c r="R48" s="376">
        <f>IF(('Tableau simu'!D5="Oui"),1,0)</f>
        <v>0</v>
      </c>
      <c r="S48" s="13"/>
      <c r="T48" s="13"/>
      <c r="U48" s="13"/>
      <c r="V48" s="13"/>
      <c r="W48" s="251"/>
      <c r="X48" s="13"/>
      <c r="Y48" s="13"/>
      <c r="Z48" s="13"/>
      <c r="AA48" s="306"/>
      <c r="AB48" s="159"/>
      <c r="AC48" s="13"/>
      <c r="AD48" s="13"/>
      <c r="AE48" s="168"/>
      <c r="AF48" s="168"/>
      <c r="AG48" s="168"/>
      <c r="AH48" s="168"/>
      <c r="AI48" s="168"/>
    </row>
    <row r="49" spans="1:35" ht="12.75" customHeight="1">
      <c r="A49" s="168"/>
      <c r="B49" s="168"/>
      <c r="C49" s="276" t="s">
        <v>101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3"/>
      <c r="Q49" s="13"/>
      <c r="R49" s="251">
        <f>IF(($B$9=0),0,(($R$48*$B$9)*$A$6))</f>
        <v>0</v>
      </c>
      <c r="S49" s="13"/>
      <c r="T49" s="168"/>
      <c r="U49" s="251">
        <f>IF(($B$10=0),0,(($R$48*$B$10)*$A$6))</f>
        <v>0</v>
      </c>
      <c r="V49" s="168"/>
      <c r="W49" s="251">
        <f>IF(($B$11=0),0,(($R$48*$B$11)*$A$6))</f>
        <v>0</v>
      </c>
      <c r="X49" s="13"/>
      <c r="Y49" s="13"/>
      <c r="Z49" s="13"/>
      <c r="AA49" s="306"/>
      <c r="AB49" s="159"/>
      <c r="AC49" s="13"/>
      <c r="AD49" s="13"/>
      <c r="AE49" s="168"/>
      <c r="AF49" s="168"/>
      <c r="AG49" s="168"/>
      <c r="AH49" s="168"/>
      <c r="AI49" s="168"/>
    </row>
    <row r="50" spans="1:35" ht="12.75" customHeight="1">
      <c r="A50" s="168"/>
      <c r="B50" s="168"/>
      <c r="C50" s="276" t="s">
        <v>99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3"/>
      <c r="Q50" s="13"/>
      <c r="R50" s="13"/>
      <c r="S50" s="13">
        <f>R49</f>
        <v>0</v>
      </c>
      <c r="T50" s="13"/>
      <c r="U50" s="13"/>
      <c r="V50" s="13">
        <f>U49</f>
        <v>0</v>
      </c>
      <c r="W50" s="13"/>
      <c r="X50" s="13">
        <f>W49</f>
        <v>0</v>
      </c>
      <c r="Y50" s="13"/>
      <c r="Z50" s="13"/>
      <c r="AA50" s="306"/>
      <c r="AB50" s="159"/>
      <c r="AC50" s="13"/>
      <c r="AD50" s="13"/>
      <c r="AE50" s="168"/>
      <c r="AF50" s="168"/>
      <c r="AG50" s="168"/>
      <c r="AH50" s="168"/>
      <c r="AI50" s="168"/>
    </row>
    <row r="51" spans="1:35" ht="12.75" customHeight="1">
      <c r="A51" s="168"/>
      <c r="B51" s="168"/>
      <c r="C51" s="6" t="s">
        <v>108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3"/>
      <c r="Q51" s="13"/>
      <c r="R51" s="13"/>
      <c r="S51" s="376">
        <f>IF(('Tableau simu'!D6="Oui"),1,0)</f>
        <v>1</v>
      </c>
      <c r="T51" s="13"/>
      <c r="U51" s="13"/>
      <c r="V51" s="13"/>
      <c r="W51" s="13"/>
      <c r="X51" s="251" t="s">
        <v>96</v>
      </c>
      <c r="Y51" s="13"/>
      <c r="Z51" s="13"/>
      <c r="AA51" s="306"/>
      <c r="AB51" s="159"/>
      <c r="AC51" s="13"/>
      <c r="AD51" s="13"/>
      <c r="AE51" s="168"/>
      <c r="AF51" s="168"/>
      <c r="AG51" s="168"/>
      <c r="AH51" s="168"/>
      <c r="AI51" s="168"/>
    </row>
    <row r="52" spans="1:35" ht="12.75" customHeight="1">
      <c r="A52" s="168"/>
      <c r="B52" s="168"/>
      <c r="C52" s="276" t="s">
        <v>101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3"/>
      <c r="Q52" s="13"/>
      <c r="R52" s="13"/>
      <c r="S52" s="251">
        <f>IF(($B$9=0),0,(($S$51*$B$9)*$A$6))</f>
        <v>14352</v>
      </c>
      <c r="T52" s="13"/>
      <c r="U52" s="13"/>
      <c r="V52" s="251">
        <f>IF(($B$10=0),0,(($S$51*$B$10)*$A$6))</f>
        <v>57408</v>
      </c>
      <c r="W52" s="13"/>
      <c r="X52" s="251">
        <f>IF(($B$11=0),0,(($S$51*$B$11)*$A$6))</f>
        <v>71760</v>
      </c>
      <c r="Y52" s="13"/>
      <c r="Z52" s="13"/>
      <c r="AA52" s="306"/>
      <c r="AB52" s="159"/>
      <c r="AC52" s="13"/>
      <c r="AD52" s="13"/>
      <c r="AE52" s="168"/>
      <c r="AF52" s="168"/>
      <c r="AG52" s="168"/>
      <c r="AH52" s="168"/>
      <c r="AI52" s="168"/>
    </row>
    <row r="53" spans="1:35" ht="12.75" customHeight="1">
      <c r="A53" s="168"/>
      <c r="B53" s="168"/>
      <c r="C53" s="276" t="s">
        <v>99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3"/>
      <c r="Q53" s="13"/>
      <c r="R53" s="13"/>
      <c r="S53" s="13"/>
      <c r="T53" s="13">
        <f>S52</f>
        <v>14352</v>
      </c>
      <c r="U53" s="13"/>
      <c r="V53" s="13"/>
      <c r="W53" s="13">
        <f>V52</f>
        <v>57408</v>
      </c>
      <c r="X53" s="13"/>
      <c r="Y53" s="13">
        <f>X52</f>
        <v>71760</v>
      </c>
      <c r="Z53" s="13"/>
      <c r="AA53" s="306"/>
      <c r="AB53" s="159"/>
      <c r="AC53" s="13"/>
      <c r="AD53" s="13"/>
      <c r="AE53" s="168"/>
      <c r="AF53" s="168"/>
      <c r="AG53" s="168"/>
      <c r="AH53" s="168"/>
      <c r="AI53" s="168"/>
    </row>
    <row r="54" spans="1:35" ht="12.75" customHeight="1">
      <c r="A54" s="168"/>
      <c r="B54" s="168"/>
      <c r="C54" s="6" t="s">
        <v>109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3"/>
      <c r="Q54" s="13"/>
      <c r="R54" s="13"/>
      <c r="S54" s="13"/>
      <c r="T54" s="376">
        <f>IF(('Tableau simu'!D7="Oui"),1,0)</f>
        <v>0</v>
      </c>
      <c r="U54" s="13"/>
      <c r="V54" s="13"/>
      <c r="W54" s="13"/>
      <c r="X54" s="13"/>
      <c r="Y54" s="251"/>
      <c r="Z54" s="13"/>
      <c r="AA54" s="306"/>
      <c r="AB54" s="159"/>
      <c r="AC54" s="13"/>
      <c r="AD54" s="13"/>
      <c r="AE54" s="168"/>
      <c r="AF54" s="168"/>
      <c r="AG54" s="168"/>
      <c r="AH54" s="168"/>
      <c r="AI54" s="168"/>
    </row>
    <row r="55" spans="1:35" ht="12.75" customHeight="1">
      <c r="A55" s="168"/>
      <c r="B55" s="168"/>
      <c r="C55" s="276" t="s">
        <v>101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3"/>
      <c r="Q55" s="13"/>
      <c r="R55" s="13"/>
      <c r="S55" s="13"/>
      <c r="T55" s="251">
        <f>IF(($B$9=0),0,(($T$54*$B$9)*$A$6))</f>
        <v>0</v>
      </c>
      <c r="U55" s="13"/>
      <c r="V55" s="168"/>
      <c r="W55" s="251">
        <f>IF(($B$10=0),0,(($T$54*$B$10)*$A$6))</f>
        <v>0</v>
      </c>
      <c r="X55" s="168"/>
      <c r="Y55" s="251">
        <f>IF(($B$11=0),0,(($T$54*$B$11)*$A$6))</f>
        <v>0</v>
      </c>
      <c r="Z55" s="13"/>
      <c r="AA55" s="306"/>
      <c r="AB55" s="159"/>
      <c r="AC55" s="13"/>
      <c r="AD55" s="13"/>
      <c r="AE55" s="168"/>
      <c r="AF55" s="168"/>
      <c r="AG55" s="168"/>
      <c r="AH55" s="168"/>
      <c r="AI55" s="168"/>
    </row>
    <row r="56" spans="1:35" ht="12.75" customHeight="1">
      <c r="A56" s="168"/>
      <c r="B56" s="168"/>
      <c r="C56" s="276" t="s">
        <v>99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3"/>
      <c r="Q56" s="13"/>
      <c r="R56" s="13"/>
      <c r="S56" s="13"/>
      <c r="T56" s="13"/>
      <c r="U56" s="13">
        <f>T55</f>
        <v>0</v>
      </c>
      <c r="V56" s="13"/>
      <c r="W56" s="13"/>
      <c r="X56" s="13">
        <f>W55</f>
        <v>0</v>
      </c>
      <c r="Y56" s="13"/>
      <c r="Z56" s="13">
        <f>Y55</f>
        <v>0</v>
      </c>
      <c r="AA56" s="306"/>
      <c r="AB56" s="159"/>
      <c r="AC56" s="13"/>
      <c r="AD56" s="13"/>
      <c r="AE56" s="168"/>
      <c r="AF56" s="168"/>
      <c r="AG56" s="168"/>
      <c r="AH56" s="168"/>
      <c r="AI56" s="168"/>
    </row>
    <row r="57" spans="1:35" ht="12.75" customHeight="1">
      <c r="A57" s="168"/>
      <c r="B57" s="168"/>
      <c r="C57" s="6" t="s">
        <v>110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3"/>
      <c r="Q57" s="13"/>
      <c r="R57" s="13"/>
      <c r="S57" s="13"/>
      <c r="T57" s="13"/>
      <c r="U57" s="376">
        <f>IF(('Tableau simu'!D8="Oui"),1,0)</f>
        <v>1</v>
      </c>
      <c r="V57" s="13"/>
      <c r="W57" s="13"/>
      <c r="X57" s="13"/>
      <c r="Y57" s="13"/>
      <c r="Z57" s="251" t="s">
        <v>96</v>
      </c>
      <c r="AA57" s="306"/>
      <c r="AB57" s="159"/>
      <c r="AC57" s="13"/>
      <c r="AD57" s="13"/>
      <c r="AE57" s="168"/>
      <c r="AF57" s="168"/>
      <c r="AG57" s="168"/>
      <c r="AH57" s="168"/>
      <c r="AI57" s="168"/>
    </row>
    <row r="58" spans="1:35" ht="12.75" customHeight="1">
      <c r="A58" s="168"/>
      <c r="B58" s="168"/>
      <c r="C58" s="276" t="s">
        <v>101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3"/>
      <c r="Q58" s="13"/>
      <c r="R58" s="13"/>
      <c r="S58" s="13"/>
      <c r="T58" s="13"/>
      <c r="U58" s="251">
        <f>IF(($B$9=0),0,(($U$57*$B$9)*$A$6))</f>
        <v>14352</v>
      </c>
      <c r="V58" s="13"/>
      <c r="W58" s="13"/>
      <c r="X58" s="251">
        <f>IF(($B$10=0),0,(($U$57*$B$10)*$A$6))</f>
        <v>57408</v>
      </c>
      <c r="Y58" s="13"/>
      <c r="Z58" s="251">
        <f>IF(($B$11=0),0,(($U$57*$B$11)*$A$6))</f>
        <v>71760</v>
      </c>
      <c r="AA58" s="306"/>
      <c r="AB58" s="159"/>
      <c r="AC58" s="13"/>
      <c r="AD58" s="13"/>
      <c r="AE58" s="168"/>
      <c r="AF58" s="168"/>
      <c r="AG58" s="168"/>
      <c r="AH58" s="168"/>
      <c r="AI58" s="168"/>
    </row>
    <row r="59" spans="1:35" ht="12.75" customHeight="1">
      <c r="A59" s="168"/>
      <c r="B59" s="168"/>
      <c r="C59" s="276" t="s">
        <v>99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3"/>
      <c r="Q59" s="13"/>
      <c r="R59" s="13"/>
      <c r="S59" s="13"/>
      <c r="T59" s="13"/>
      <c r="U59" s="13"/>
      <c r="V59" s="13">
        <f>U58</f>
        <v>14352</v>
      </c>
      <c r="W59" s="13"/>
      <c r="X59" s="13"/>
      <c r="Y59" s="13">
        <f>X58</f>
        <v>57408</v>
      </c>
      <c r="Z59" s="13"/>
      <c r="AA59" s="306">
        <f>Z58</f>
        <v>71760</v>
      </c>
      <c r="AB59" s="159"/>
      <c r="AC59" s="13"/>
      <c r="AD59" s="13"/>
      <c r="AE59" s="168"/>
      <c r="AF59" s="168"/>
      <c r="AG59" s="168"/>
      <c r="AH59" s="168"/>
      <c r="AI59" s="168"/>
    </row>
    <row r="60" spans="1:35" ht="12.75" customHeight="1">
      <c r="A60" s="168"/>
      <c r="B60" s="168"/>
      <c r="C60" s="6" t="s">
        <v>112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3"/>
      <c r="Q60" s="13"/>
      <c r="R60" s="13"/>
      <c r="S60" s="13"/>
      <c r="T60" s="13"/>
      <c r="U60" s="13"/>
      <c r="V60" s="376">
        <f>IF(('Tableau simu'!D9="Oui"),1,0)</f>
        <v>0</v>
      </c>
      <c r="W60" s="13"/>
      <c r="X60" s="13"/>
      <c r="Y60" s="13"/>
      <c r="Z60" s="13"/>
      <c r="AA60" s="308"/>
      <c r="AB60" s="159"/>
      <c r="AC60" s="13"/>
      <c r="AD60" s="13"/>
      <c r="AE60" s="168"/>
      <c r="AF60" s="168"/>
      <c r="AG60" s="168"/>
      <c r="AH60" s="168"/>
      <c r="AI60" s="168"/>
    </row>
    <row r="61" spans="1:35" ht="12.75" customHeight="1">
      <c r="A61" s="168"/>
      <c r="B61" s="168"/>
      <c r="C61" s="276" t="s">
        <v>101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3"/>
      <c r="Q61" s="13"/>
      <c r="R61" s="13"/>
      <c r="S61" s="13"/>
      <c r="T61" s="13"/>
      <c r="U61" s="13"/>
      <c r="V61" s="251">
        <f>IF(($B$9=0),0,(($V$60*$B$9)*$A$6))</f>
        <v>0</v>
      </c>
      <c r="W61" s="13"/>
      <c r="X61" s="168"/>
      <c r="Y61" s="251">
        <f>IF(($B$10=0),0,(($V$60*$B$10)*$A$6))</f>
        <v>0</v>
      </c>
      <c r="Z61" s="168"/>
      <c r="AA61" s="308">
        <f>IF(($B$11=0),0,(($V$60*$B$11)*$A$6))</f>
        <v>0</v>
      </c>
      <c r="AB61" s="159"/>
      <c r="AC61" s="13"/>
      <c r="AD61" s="13"/>
      <c r="AE61" s="168"/>
      <c r="AF61" s="168"/>
      <c r="AG61" s="168"/>
      <c r="AH61" s="168"/>
      <c r="AI61" s="168"/>
    </row>
    <row r="62" spans="1:35" ht="12.75" customHeight="1">
      <c r="A62" s="168"/>
      <c r="B62" s="168"/>
      <c r="C62" s="276" t="s">
        <v>99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3"/>
      <c r="Q62" s="13"/>
      <c r="R62" s="13"/>
      <c r="S62" s="13"/>
      <c r="T62" s="13"/>
      <c r="U62" s="13"/>
      <c r="V62" s="13"/>
      <c r="W62" s="13">
        <f>V61</f>
        <v>0</v>
      </c>
      <c r="X62" s="13"/>
      <c r="Y62" s="13"/>
      <c r="Z62" s="13">
        <f>Y61</f>
        <v>0</v>
      </c>
      <c r="AA62" s="306"/>
      <c r="AB62" s="159">
        <f>AA61</f>
        <v>0</v>
      </c>
      <c r="AC62" s="13"/>
      <c r="AD62" s="13"/>
      <c r="AE62" s="168"/>
      <c r="AF62" s="168"/>
      <c r="AG62" s="168"/>
      <c r="AH62" s="168"/>
      <c r="AI62" s="168"/>
    </row>
    <row r="63" spans="1:35" ht="12.75" customHeight="1">
      <c r="A63" s="168"/>
      <c r="B63" s="168"/>
      <c r="C63" s="6" t="s">
        <v>115</v>
      </c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3"/>
      <c r="Q63" s="13"/>
      <c r="R63" s="13"/>
      <c r="S63" s="13"/>
      <c r="T63" s="13"/>
      <c r="U63" s="13"/>
      <c r="V63" s="13"/>
      <c r="W63" s="376">
        <f>IF(('Tableau simu'!D10="Oui"),1,0)</f>
        <v>1</v>
      </c>
      <c r="X63" s="13"/>
      <c r="Y63" s="13"/>
      <c r="Z63" s="13"/>
      <c r="AA63" s="306"/>
      <c r="AB63" s="397" t="s">
        <v>96</v>
      </c>
      <c r="AC63" s="13"/>
      <c r="AD63" s="13"/>
      <c r="AE63" s="168"/>
      <c r="AF63" s="168"/>
      <c r="AG63" s="168"/>
      <c r="AH63" s="168"/>
      <c r="AI63" s="168"/>
    </row>
    <row r="64" spans="1:35" ht="12.75" customHeight="1">
      <c r="A64" s="168"/>
      <c r="B64" s="168"/>
      <c r="C64" s="276" t="s">
        <v>101</v>
      </c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3"/>
      <c r="Q64" s="13"/>
      <c r="R64" s="13"/>
      <c r="S64" s="13"/>
      <c r="T64" s="13"/>
      <c r="U64" s="13"/>
      <c r="V64" s="13"/>
      <c r="W64" s="251">
        <f>IF(($B$9=0),0,(($W$63*$B$9)*$A$6))</f>
        <v>14352</v>
      </c>
      <c r="X64" s="13"/>
      <c r="Y64" s="13"/>
      <c r="Z64" s="251">
        <f>IF(($B$10=0),0,(($W$63*$B$10)*$A$6))</f>
        <v>57408</v>
      </c>
      <c r="AA64" s="306"/>
      <c r="AB64" s="397">
        <f>IF(($B$11=0),0,(($W$63*$B$11)*$A$6))</f>
        <v>71760</v>
      </c>
      <c r="AC64" s="13"/>
      <c r="AD64" s="13"/>
      <c r="AE64" s="168"/>
      <c r="AF64" s="168"/>
      <c r="AG64" s="168"/>
      <c r="AH64" s="168"/>
      <c r="AI64" s="168"/>
    </row>
    <row r="65" spans="1:35" ht="12.75" customHeight="1">
      <c r="A65" s="168"/>
      <c r="B65" s="168"/>
      <c r="C65" s="276" t="s">
        <v>99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3"/>
      <c r="Q65" s="13"/>
      <c r="R65" s="13"/>
      <c r="S65" s="13"/>
      <c r="T65" s="13"/>
      <c r="U65" s="13"/>
      <c r="V65" s="13"/>
      <c r="W65" s="13"/>
      <c r="X65" s="13">
        <f>W64</f>
        <v>14352</v>
      </c>
      <c r="Y65" s="13"/>
      <c r="Z65" s="13"/>
      <c r="AA65" s="306">
        <f>Z64</f>
        <v>57408</v>
      </c>
      <c r="AB65" s="159"/>
      <c r="AC65" s="13">
        <f>AB64</f>
        <v>71760</v>
      </c>
      <c r="AD65" s="13"/>
      <c r="AE65" s="168"/>
      <c r="AF65" s="168"/>
      <c r="AG65" s="168"/>
      <c r="AH65" s="168"/>
      <c r="AI65" s="168"/>
    </row>
    <row r="66" spans="1:35" ht="12.75" customHeight="1">
      <c r="A66" s="168"/>
      <c r="B66" s="168"/>
      <c r="C66" s="6" t="s">
        <v>116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3"/>
      <c r="Q66" s="13"/>
      <c r="R66" s="13"/>
      <c r="S66" s="13"/>
      <c r="T66" s="13"/>
      <c r="U66" s="13"/>
      <c r="V66" s="13"/>
      <c r="W66" s="13"/>
      <c r="X66" s="376">
        <f>IF(('Tableau simu'!D11="Oui"),1,0)</f>
        <v>0</v>
      </c>
      <c r="Y66" s="13"/>
      <c r="Z66" s="13"/>
      <c r="AA66" s="306"/>
      <c r="AB66" s="159"/>
      <c r="AC66" s="251"/>
      <c r="AD66" s="13"/>
      <c r="AE66" s="168"/>
      <c r="AF66" s="168"/>
      <c r="AG66" s="168"/>
      <c r="AH66" s="168"/>
      <c r="AI66" s="168"/>
    </row>
    <row r="67" spans="1:35" ht="12.75" customHeight="1">
      <c r="A67" s="168"/>
      <c r="B67" s="168"/>
      <c r="C67" s="276" t="s">
        <v>101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3"/>
      <c r="Q67" s="13"/>
      <c r="R67" s="13"/>
      <c r="S67" s="13"/>
      <c r="T67" s="13"/>
      <c r="U67" s="13"/>
      <c r="V67" s="13"/>
      <c r="W67" s="13"/>
      <c r="X67" s="251">
        <f>IF(($B$9=0),0,(($X$66*$B$9)*$A$6))</f>
        <v>0</v>
      </c>
      <c r="Y67" s="13"/>
      <c r="Z67" s="168"/>
      <c r="AA67" s="308">
        <f>IF(($B$10=0),0,(($X$66*$B$10)*$A$6))</f>
        <v>0</v>
      </c>
      <c r="AB67" s="89"/>
      <c r="AC67" s="251">
        <f>IF(($B$11=0),0,(($X$66*$B$11)*$A$6))</f>
        <v>0</v>
      </c>
      <c r="AD67" s="13"/>
      <c r="AE67" s="168"/>
      <c r="AF67" s="168"/>
      <c r="AG67" s="168"/>
      <c r="AH67" s="168"/>
      <c r="AI67" s="168"/>
    </row>
    <row r="68" spans="1:35" ht="12.75" customHeight="1">
      <c r="A68" s="168"/>
      <c r="B68" s="168"/>
      <c r="C68" s="276" t="s">
        <v>99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3"/>
      <c r="Q68" s="13"/>
      <c r="R68" s="13"/>
      <c r="S68" s="13"/>
      <c r="T68" s="13"/>
      <c r="U68" s="13"/>
      <c r="V68" s="13"/>
      <c r="W68" s="13"/>
      <c r="X68" s="13"/>
      <c r="Y68" s="13">
        <f>X67</f>
        <v>0</v>
      </c>
      <c r="Z68" s="13"/>
      <c r="AA68" s="306"/>
      <c r="AB68" s="159">
        <f>AA67</f>
        <v>0</v>
      </c>
      <c r="AC68" s="13"/>
      <c r="AD68" s="13">
        <f>AC67</f>
        <v>0</v>
      </c>
      <c r="AE68" s="168"/>
      <c r="AF68" s="168"/>
      <c r="AG68" s="168"/>
      <c r="AH68" s="168"/>
      <c r="AI68" s="168"/>
    </row>
    <row r="69" spans="1:35" ht="12.75" customHeight="1">
      <c r="A69" s="168"/>
      <c r="B69" s="168"/>
      <c r="C69" s="6" t="s">
        <v>117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3"/>
      <c r="Q69" s="13"/>
      <c r="R69" s="13"/>
      <c r="S69" s="13"/>
      <c r="T69" s="13"/>
      <c r="U69" s="13"/>
      <c r="V69" s="13"/>
      <c r="W69" s="13"/>
      <c r="X69" s="13"/>
      <c r="Y69" s="376">
        <f>IF(('Tableau simu'!D12="Oui"),1,0)</f>
        <v>1</v>
      </c>
      <c r="Z69" s="13"/>
      <c r="AA69" s="306"/>
      <c r="AB69" s="159"/>
      <c r="AC69" s="13"/>
      <c r="AD69" s="251" t="s">
        <v>96</v>
      </c>
      <c r="AE69" s="168"/>
      <c r="AF69" s="168"/>
      <c r="AG69" s="168"/>
      <c r="AH69" s="168"/>
      <c r="AI69" s="168"/>
    </row>
    <row r="70" spans="1:35" ht="12.75" customHeight="1">
      <c r="A70" s="168"/>
      <c r="B70" s="168"/>
      <c r="C70" s="276" t="s">
        <v>101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3"/>
      <c r="Q70" s="13"/>
      <c r="R70" s="13"/>
      <c r="S70" s="13"/>
      <c r="T70" s="13"/>
      <c r="U70" s="13"/>
      <c r="V70" s="13"/>
      <c r="W70" s="13"/>
      <c r="X70" s="13"/>
      <c r="Y70" s="251">
        <f>IF(($B$9=0),0,(($Y$69*$B$9)*$A$6))</f>
        <v>14352</v>
      </c>
      <c r="Z70" s="13"/>
      <c r="AA70" s="306"/>
      <c r="AB70" s="397">
        <f>IF(($B$10=0),0,(($Y$69*$B$10)*$A$6))</f>
        <v>57408</v>
      </c>
      <c r="AC70" s="13"/>
      <c r="AD70" s="251">
        <f>IF(($B$11=0),0,(($Y$69*$B$11)*$A$6))</f>
        <v>71760</v>
      </c>
      <c r="AE70" s="168"/>
      <c r="AF70" s="168"/>
      <c r="AG70" s="168"/>
      <c r="AH70" s="168"/>
      <c r="AI70" s="168"/>
    </row>
    <row r="71" spans="1:35" ht="12.75" customHeight="1">
      <c r="A71" s="168"/>
      <c r="B71" s="168"/>
      <c r="C71" s="276" t="s">
        <v>99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>
        <f>Y70</f>
        <v>14352</v>
      </c>
      <c r="AA71" s="306"/>
      <c r="AB71" s="159"/>
      <c r="AC71" s="13">
        <f>AB70</f>
        <v>57408</v>
      </c>
      <c r="AD71" s="13"/>
      <c r="AE71" s="13">
        <f>AD70</f>
        <v>71760</v>
      </c>
      <c r="AF71" s="168"/>
      <c r="AG71" s="168"/>
      <c r="AH71" s="168"/>
      <c r="AI71" s="168"/>
    </row>
    <row r="72" spans="1:35" ht="12.75" customHeight="1">
      <c r="A72" s="168"/>
      <c r="B72" s="168"/>
      <c r="C72" s="6" t="s">
        <v>118</v>
      </c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376">
        <f>IF(('Tableau simu'!D13="Oui"),1,0)</f>
        <v>0</v>
      </c>
      <c r="AA72" s="306"/>
      <c r="AB72" s="159"/>
      <c r="AC72" s="13"/>
      <c r="AD72" s="13"/>
      <c r="AE72" s="251"/>
      <c r="AF72" s="168"/>
      <c r="AG72" s="168"/>
      <c r="AH72" s="168"/>
      <c r="AI72" s="168"/>
    </row>
    <row r="73" spans="1:35" ht="12.75" customHeight="1">
      <c r="A73" s="168"/>
      <c r="B73" s="168"/>
      <c r="C73" s="276" t="s">
        <v>101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251">
        <f>IF(($B$9=0),0,(($Z$72*$B$9)*$A$6))</f>
        <v>0</v>
      </c>
      <c r="AA73" s="306"/>
      <c r="AB73" s="89"/>
      <c r="AC73" s="251">
        <f>IF(($B$10=0),0,(($Z$72*$B$10)*$A$6))</f>
        <v>0</v>
      </c>
      <c r="AD73" s="168"/>
      <c r="AE73" s="251">
        <f>IF(($B$11=0),0,(($Z$72*$B$11)*$A$6))</f>
        <v>0</v>
      </c>
      <c r="AF73" s="168"/>
      <c r="AG73" s="168"/>
      <c r="AH73" s="168"/>
      <c r="AI73" s="168"/>
    </row>
    <row r="74" spans="1:35" ht="12.75" customHeight="1">
      <c r="A74" s="168"/>
      <c r="B74" s="168"/>
      <c r="C74" s="276" t="s">
        <v>99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306">
        <f>Z73</f>
        <v>0</v>
      </c>
      <c r="AB74" s="159"/>
      <c r="AC74" s="13"/>
      <c r="AD74" s="13">
        <f>AC73</f>
        <v>0</v>
      </c>
      <c r="AE74" s="13"/>
      <c r="AF74" s="13">
        <f>AE73</f>
        <v>0</v>
      </c>
      <c r="AG74" s="168"/>
      <c r="AH74" s="168"/>
      <c r="AI74" s="168"/>
    </row>
    <row r="75" spans="1:35" ht="12.75" customHeight="1">
      <c r="A75" s="168"/>
      <c r="B75" s="168"/>
      <c r="C75" s="6" t="s">
        <v>119</v>
      </c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259">
        <f>IF(('Tableau simu'!D14="Oui"),1,0)</f>
        <v>1</v>
      </c>
      <c r="AB75" s="159"/>
      <c r="AC75" s="13"/>
      <c r="AD75" s="13"/>
      <c r="AE75" s="168"/>
      <c r="AF75" s="251" t="s">
        <v>96</v>
      </c>
      <c r="AG75" s="168"/>
      <c r="AH75" s="168"/>
      <c r="AI75" s="168"/>
    </row>
    <row r="76" spans="1:35" ht="12.75" customHeight="1">
      <c r="A76" s="168"/>
      <c r="B76" s="168"/>
      <c r="C76" s="276" t="s">
        <v>101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308">
        <f>IF(($B$9=0),0,(($AA$75*$B$9)*$A$6))</f>
        <v>14352</v>
      </c>
      <c r="AB76" s="159"/>
      <c r="AC76" s="13"/>
      <c r="AD76" s="251">
        <f>IF(($B$10=0),0,(($AA$75*$B$10)*$A$6))</f>
        <v>57408</v>
      </c>
      <c r="AE76" s="13"/>
      <c r="AF76" s="251">
        <f>IF(($B$11=0),0,(($AA$75*$B$11)*$A$6))</f>
        <v>71760</v>
      </c>
      <c r="AG76" s="168"/>
      <c r="AH76" s="168"/>
      <c r="AI76" s="168"/>
    </row>
    <row r="77" spans="1:35" ht="12.75" customHeight="1">
      <c r="A77" s="168"/>
      <c r="B77" s="168"/>
      <c r="C77" s="276" t="s">
        <v>99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3">
        <f>AA76</f>
        <v>14352</v>
      </c>
      <c r="AC77" s="13"/>
      <c r="AD77" s="13"/>
      <c r="AE77" s="13">
        <f>AD76</f>
        <v>57408</v>
      </c>
      <c r="AF77" s="13"/>
      <c r="AG77" s="13">
        <f>AF76</f>
        <v>71760</v>
      </c>
      <c r="AH77" s="13">
        <f>AG76</f>
        <v>0</v>
      </c>
      <c r="AI77" s="168"/>
    </row>
    <row r="78" spans="1:35" ht="12.75" customHeight="1">
      <c r="A78" s="168"/>
      <c r="B78" s="168"/>
      <c r="C78" s="276" t="s">
        <v>120</v>
      </c>
      <c r="D78" s="13">
        <f t="shared" ref="D78:W78" si="2">((((((((((D43+D46)+D49)+D52)+D55)+D58)+D61)+D64)+D67)+D70)+D73)+D76</f>
        <v>0</v>
      </c>
      <c r="E78" s="13">
        <f t="shared" si="2"/>
        <v>0</v>
      </c>
      <c r="F78" s="13">
        <f t="shared" si="2"/>
        <v>0</v>
      </c>
      <c r="G78" s="13">
        <f t="shared" si="2"/>
        <v>0</v>
      </c>
      <c r="H78" s="13">
        <f t="shared" si="2"/>
        <v>0</v>
      </c>
      <c r="I78" s="13">
        <f t="shared" si="2"/>
        <v>0</v>
      </c>
      <c r="J78" s="13">
        <f t="shared" si="2"/>
        <v>0</v>
      </c>
      <c r="K78" s="13">
        <f t="shared" si="2"/>
        <v>0</v>
      </c>
      <c r="L78" s="13">
        <f t="shared" si="2"/>
        <v>0</v>
      </c>
      <c r="M78" s="13">
        <f t="shared" si="2"/>
        <v>0</v>
      </c>
      <c r="N78" s="13">
        <f t="shared" si="2"/>
        <v>0</v>
      </c>
      <c r="O78" s="306">
        <f t="shared" si="2"/>
        <v>0</v>
      </c>
      <c r="P78" s="159">
        <f t="shared" si="2"/>
        <v>0</v>
      </c>
      <c r="Q78" s="13">
        <f t="shared" si="2"/>
        <v>14352</v>
      </c>
      <c r="R78" s="13">
        <f t="shared" si="2"/>
        <v>0</v>
      </c>
      <c r="S78" s="13">
        <f t="shared" si="2"/>
        <v>14352</v>
      </c>
      <c r="T78" s="13">
        <f t="shared" si="2"/>
        <v>57408</v>
      </c>
      <c r="U78" s="13">
        <f t="shared" si="2"/>
        <v>14352</v>
      </c>
      <c r="V78" s="13">
        <f t="shared" si="2"/>
        <v>129168</v>
      </c>
      <c r="W78" s="13">
        <f t="shared" si="2"/>
        <v>14352</v>
      </c>
      <c r="X78" s="13">
        <f>((((((((((X43+X46)+X49)+X52)+Y55)+X58)+Y61)+X64)+X67)+X70)+X73)+X76</f>
        <v>129168</v>
      </c>
      <c r="Y78" s="13">
        <f>((((((((((Y43+Y46)+Y49)+Y52)+Y55)+Y58)+Z61)+Y64)+Y67)+Y70)+Y73)+Y76</f>
        <v>14352</v>
      </c>
      <c r="Z78" s="13">
        <f t="shared" ref="Z78:AH78" si="3">((((((((((Z43+Z46)+Z49)+Z52)+Z55)+Z58)+Z61)+Z64)+Z67)+Z70)+Z73)+Z76</f>
        <v>129168</v>
      </c>
      <c r="AA78" s="306">
        <f t="shared" si="3"/>
        <v>14352</v>
      </c>
      <c r="AB78" s="159">
        <f t="shared" si="3"/>
        <v>129168</v>
      </c>
      <c r="AC78" s="13">
        <f t="shared" si="3"/>
        <v>0</v>
      </c>
      <c r="AD78" s="13">
        <f t="shared" si="3"/>
        <v>129168</v>
      </c>
      <c r="AE78" s="13">
        <f t="shared" si="3"/>
        <v>0</v>
      </c>
      <c r="AF78" s="13">
        <f t="shared" si="3"/>
        <v>71760</v>
      </c>
      <c r="AG78" s="13">
        <f t="shared" si="3"/>
        <v>0</v>
      </c>
      <c r="AH78" s="13">
        <f t="shared" si="3"/>
        <v>0</v>
      </c>
      <c r="AI78" s="168"/>
    </row>
    <row r="79" spans="1:35" ht="12.75" customHeight="1">
      <c r="A79" s="168"/>
      <c r="B79" s="168"/>
      <c r="C79" s="276" t="s">
        <v>121</v>
      </c>
      <c r="D79" s="13">
        <f t="shared" ref="D79:W79" si="4">((((((((((D44+D47)+D50)+D53)+D56)+D59)+D62)+D65)+D68)+D71)+D74)+D77</f>
        <v>0</v>
      </c>
      <c r="E79" s="13">
        <f t="shared" si="4"/>
        <v>0</v>
      </c>
      <c r="F79" s="13">
        <f t="shared" si="4"/>
        <v>0</v>
      </c>
      <c r="G79" s="13">
        <f t="shared" si="4"/>
        <v>0</v>
      </c>
      <c r="H79" s="13">
        <f t="shared" si="4"/>
        <v>0</v>
      </c>
      <c r="I79" s="13">
        <f t="shared" si="4"/>
        <v>0</v>
      </c>
      <c r="J79" s="13">
        <f t="shared" si="4"/>
        <v>0</v>
      </c>
      <c r="K79" s="13">
        <f t="shared" si="4"/>
        <v>0</v>
      </c>
      <c r="L79" s="13">
        <f t="shared" si="4"/>
        <v>0</v>
      </c>
      <c r="M79" s="13">
        <f t="shared" si="4"/>
        <v>0</v>
      </c>
      <c r="N79" s="13">
        <f t="shared" si="4"/>
        <v>0</v>
      </c>
      <c r="O79" s="306">
        <f t="shared" si="4"/>
        <v>0</v>
      </c>
      <c r="P79" s="159">
        <f t="shared" si="4"/>
        <v>0</v>
      </c>
      <c r="Q79" s="13">
        <f t="shared" si="4"/>
        <v>0</v>
      </c>
      <c r="R79" s="13">
        <f t="shared" si="4"/>
        <v>14352</v>
      </c>
      <c r="S79" s="13">
        <f t="shared" si="4"/>
        <v>0</v>
      </c>
      <c r="T79" s="13">
        <f t="shared" si="4"/>
        <v>14352</v>
      </c>
      <c r="U79" s="13">
        <f t="shared" si="4"/>
        <v>57408</v>
      </c>
      <c r="V79" s="13">
        <f t="shared" si="4"/>
        <v>14352</v>
      </c>
      <c r="W79" s="13">
        <f t="shared" si="4"/>
        <v>129168</v>
      </c>
      <c r="X79" s="13">
        <f>((((((((((X44+X47)+X50)+X53)+X56)+X59)+X62)+X65)+X68)+X71)+X74)+X77</f>
        <v>14352</v>
      </c>
      <c r="Y79" s="13">
        <f>((((((((((Y44+Y47)+Y50)+Y53)+Y56)+Y59)+Y62)+Y65)+Y68)+Y71)+Y74)+Y77</f>
        <v>129168</v>
      </c>
      <c r="Z79" s="13">
        <f t="shared" ref="Z79:AH79" si="5">((((((((((Z44+Z47)+Z50)+Z53)+Z56)+Z59)+Z62)+Z65)+Z68)+Z71)+Z74)+Z77</f>
        <v>14352</v>
      </c>
      <c r="AA79" s="306">
        <f t="shared" si="5"/>
        <v>129168</v>
      </c>
      <c r="AB79" s="159">
        <f t="shared" si="5"/>
        <v>14352</v>
      </c>
      <c r="AC79" s="13">
        <f t="shared" si="5"/>
        <v>129168</v>
      </c>
      <c r="AD79" s="13">
        <f t="shared" si="5"/>
        <v>0</v>
      </c>
      <c r="AE79" s="13">
        <f t="shared" si="5"/>
        <v>129168</v>
      </c>
      <c r="AF79" s="13">
        <f t="shared" si="5"/>
        <v>0</v>
      </c>
      <c r="AG79" s="13">
        <f t="shared" si="5"/>
        <v>71760</v>
      </c>
      <c r="AH79" s="13">
        <f t="shared" si="5"/>
        <v>0</v>
      </c>
      <c r="AI79" s="168"/>
    </row>
    <row r="80" spans="1:35" ht="12.75" customHeight="1">
      <c r="A80" s="168"/>
      <c r="B80" s="168"/>
      <c r="C80" s="6" t="s">
        <v>123</v>
      </c>
      <c r="D80" s="186">
        <f t="shared" ref="D80:AH80" si="6">D78+D39</f>
        <v>0</v>
      </c>
      <c r="E80" s="186">
        <f t="shared" si="6"/>
        <v>0</v>
      </c>
      <c r="F80" s="186">
        <f t="shared" si="6"/>
        <v>11960</v>
      </c>
      <c r="G80" s="186">
        <f t="shared" si="6"/>
        <v>11960</v>
      </c>
      <c r="H80" s="186">
        <f t="shared" si="6"/>
        <v>59800</v>
      </c>
      <c r="I80" s="186">
        <f t="shared" si="6"/>
        <v>59800</v>
      </c>
      <c r="J80" s="186">
        <f t="shared" si="6"/>
        <v>119600</v>
      </c>
      <c r="K80" s="186">
        <f t="shared" si="6"/>
        <v>119600</v>
      </c>
      <c r="L80" s="186">
        <f t="shared" si="6"/>
        <v>119600</v>
      </c>
      <c r="M80" s="186">
        <f t="shared" si="6"/>
        <v>119600</v>
      </c>
      <c r="N80" s="186">
        <f t="shared" si="6"/>
        <v>119600</v>
      </c>
      <c r="O80" s="193">
        <f t="shared" si="6"/>
        <v>119600</v>
      </c>
      <c r="P80" s="102">
        <f t="shared" si="6"/>
        <v>117208</v>
      </c>
      <c r="Q80" s="186">
        <f t="shared" si="6"/>
        <v>131560</v>
      </c>
      <c r="R80" s="186">
        <f t="shared" si="6"/>
        <v>107640</v>
      </c>
      <c r="S80" s="186">
        <f t="shared" si="6"/>
        <v>121992</v>
      </c>
      <c r="T80" s="186">
        <f t="shared" si="6"/>
        <v>153088</v>
      </c>
      <c r="U80" s="186">
        <f t="shared" si="6"/>
        <v>110032</v>
      </c>
      <c r="V80" s="186">
        <f t="shared" si="6"/>
        <v>224848</v>
      </c>
      <c r="W80" s="186">
        <f t="shared" si="6"/>
        <v>110032</v>
      </c>
      <c r="X80" s="186">
        <f t="shared" si="6"/>
        <v>224848</v>
      </c>
      <c r="Y80" s="186">
        <f t="shared" si="6"/>
        <v>110032</v>
      </c>
      <c r="Z80" s="186">
        <f t="shared" si="6"/>
        <v>224848</v>
      </c>
      <c r="AA80" s="193">
        <f t="shared" si="6"/>
        <v>110032</v>
      </c>
      <c r="AB80" s="102">
        <f t="shared" si="6"/>
        <v>215280</v>
      </c>
      <c r="AC80" s="186">
        <f t="shared" si="6"/>
        <v>86112</v>
      </c>
      <c r="AD80" s="186">
        <f t="shared" si="6"/>
        <v>177008</v>
      </c>
      <c r="AE80" s="186">
        <f t="shared" si="6"/>
        <v>47840</v>
      </c>
      <c r="AF80" s="186">
        <f t="shared" si="6"/>
        <v>71760</v>
      </c>
      <c r="AG80" s="186">
        <f t="shared" si="6"/>
        <v>0</v>
      </c>
      <c r="AH80" s="186">
        <f t="shared" si="6"/>
        <v>0</v>
      </c>
      <c r="AI80" s="168"/>
    </row>
    <row r="81" spans="1:35" ht="12.75" customHeight="1">
      <c r="A81" s="168"/>
      <c r="B81" s="168"/>
      <c r="C81" s="6" t="s">
        <v>124</v>
      </c>
      <c r="D81" s="186">
        <f t="shared" ref="D81:AH81" si="7">D79+D40</f>
        <v>0</v>
      </c>
      <c r="E81" s="186">
        <f t="shared" si="7"/>
        <v>0</v>
      </c>
      <c r="F81" s="186">
        <f t="shared" si="7"/>
        <v>0</v>
      </c>
      <c r="G81" s="186">
        <f t="shared" si="7"/>
        <v>11960</v>
      </c>
      <c r="H81" s="186">
        <f t="shared" si="7"/>
        <v>11960</v>
      </c>
      <c r="I81" s="186">
        <f t="shared" si="7"/>
        <v>59800</v>
      </c>
      <c r="J81" s="186">
        <f t="shared" si="7"/>
        <v>59800</v>
      </c>
      <c r="K81" s="186">
        <f t="shared" si="7"/>
        <v>119600</v>
      </c>
      <c r="L81" s="186">
        <f t="shared" si="7"/>
        <v>119600</v>
      </c>
      <c r="M81" s="186">
        <f t="shared" si="7"/>
        <v>119600</v>
      </c>
      <c r="N81" s="186">
        <f t="shared" si="7"/>
        <v>119600</v>
      </c>
      <c r="O81" s="193">
        <f t="shared" si="7"/>
        <v>119600</v>
      </c>
      <c r="P81" s="102">
        <f t="shared" si="7"/>
        <v>119600</v>
      </c>
      <c r="Q81" s="186">
        <f t="shared" si="7"/>
        <v>117208</v>
      </c>
      <c r="R81" s="186">
        <f t="shared" si="7"/>
        <v>131560</v>
      </c>
      <c r="S81" s="186">
        <f t="shared" si="7"/>
        <v>107640</v>
      </c>
      <c r="T81" s="186">
        <f t="shared" si="7"/>
        <v>121992</v>
      </c>
      <c r="U81" s="186">
        <f t="shared" si="7"/>
        <v>153088</v>
      </c>
      <c r="V81" s="186">
        <f t="shared" si="7"/>
        <v>110032</v>
      </c>
      <c r="W81" s="186">
        <f t="shared" si="7"/>
        <v>224848</v>
      </c>
      <c r="X81" s="186">
        <f t="shared" si="7"/>
        <v>110032</v>
      </c>
      <c r="Y81" s="186">
        <f t="shared" si="7"/>
        <v>224848</v>
      </c>
      <c r="Z81" s="186">
        <f t="shared" si="7"/>
        <v>110032</v>
      </c>
      <c r="AA81" s="193">
        <f t="shared" si="7"/>
        <v>224848</v>
      </c>
      <c r="AB81" s="102">
        <f t="shared" si="7"/>
        <v>110032</v>
      </c>
      <c r="AC81" s="186">
        <f t="shared" si="7"/>
        <v>215280</v>
      </c>
      <c r="AD81" s="186">
        <f t="shared" si="7"/>
        <v>86112</v>
      </c>
      <c r="AE81" s="186">
        <f t="shared" si="7"/>
        <v>177008</v>
      </c>
      <c r="AF81" s="186">
        <f t="shared" si="7"/>
        <v>47840</v>
      </c>
      <c r="AG81" s="186">
        <f t="shared" si="7"/>
        <v>71760</v>
      </c>
      <c r="AH81" s="186">
        <f t="shared" si="7"/>
        <v>0</v>
      </c>
      <c r="AI81" s="168"/>
    </row>
    <row r="82" spans="1:35" ht="12.75" customHeight="1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</row>
    <row r="83" spans="1:35" ht="12.75" customHeight="1">
      <c r="A83" s="168"/>
      <c r="B83" s="168"/>
      <c r="C83" s="276" t="s">
        <v>125</v>
      </c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86">
        <f t="shared" ref="P83:AH83" si="8">P39</f>
        <v>117208</v>
      </c>
      <c r="Q83" s="186">
        <f t="shared" si="8"/>
        <v>117208</v>
      </c>
      <c r="R83" s="186">
        <f t="shared" si="8"/>
        <v>107640</v>
      </c>
      <c r="S83" s="186">
        <f t="shared" si="8"/>
        <v>107640</v>
      </c>
      <c r="T83" s="186">
        <f t="shared" si="8"/>
        <v>95680</v>
      </c>
      <c r="U83" s="186">
        <f t="shared" si="8"/>
        <v>95680</v>
      </c>
      <c r="V83" s="186">
        <f t="shared" si="8"/>
        <v>95680</v>
      </c>
      <c r="W83" s="186">
        <f t="shared" si="8"/>
        <v>95680</v>
      </c>
      <c r="X83" s="186">
        <f t="shared" si="8"/>
        <v>95680</v>
      </c>
      <c r="Y83" s="186">
        <f t="shared" si="8"/>
        <v>95680</v>
      </c>
      <c r="Z83" s="186">
        <f t="shared" si="8"/>
        <v>95680</v>
      </c>
      <c r="AA83" s="193">
        <f t="shared" si="8"/>
        <v>95680</v>
      </c>
      <c r="AB83" s="102">
        <f t="shared" si="8"/>
        <v>86112</v>
      </c>
      <c r="AC83" s="186">
        <f t="shared" si="8"/>
        <v>86112</v>
      </c>
      <c r="AD83" s="186">
        <f t="shared" si="8"/>
        <v>47840</v>
      </c>
      <c r="AE83" s="186">
        <f t="shared" si="8"/>
        <v>47840</v>
      </c>
      <c r="AF83" s="186">
        <f t="shared" si="8"/>
        <v>0</v>
      </c>
      <c r="AG83" s="186">
        <f t="shared" si="8"/>
        <v>0</v>
      </c>
      <c r="AH83" s="186">
        <f t="shared" si="8"/>
        <v>0</v>
      </c>
      <c r="AI83" s="168"/>
    </row>
    <row r="84" spans="1:35" ht="12.75" customHeight="1">
      <c r="A84" s="168"/>
      <c r="B84" s="168"/>
      <c r="C84" s="276" t="s">
        <v>126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86">
        <f t="shared" ref="P84:AH84" si="9">P78</f>
        <v>0</v>
      </c>
      <c r="Q84" s="186">
        <f t="shared" si="9"/>
        <v>14352</v>
      </c>
      <c r="R84" s="186">
        <f t="shared" si="9"/>
        <v>0</v>
      </c>
      <c r="S84" s="186">
        <f t="shared" si="9"/>
        <v>14352</v>
      </c>
      <c r="T84" s="186">
        <f t="shared" si="9"/>
        <v>57408</v>
      </c>
      <c r="U84" s="186">
        <f t="shared" si="9"/>
        <v>14352</v>
      </c>
      <c r="V84" s="186">
        <f t="shared" si="9"/>
        <v>129168</v>
      </c>
      <c r="W84" s="186">
        <f t="shared" si="9"/>
        <v>14352</v>
      </c>
      <c r="X84" s="186">
        <f t="shared" si="9"/>
        <v>129168</v>
      </c>
      <c r="Y84" s="186">
        <f t="shared" si="9"/>
        <v>14352</v>
      </c>
      <c r="Z84" s="186">
        <f t="shared" si="9"/>
        <v>129168</v>
      </c>
      <c r="AA84" s="193">
        <f t="shared" si="9"/>
        <v>14352</v>
      </c>
      <c r="AB84" s="102">
        <f t="shared" si="9"/>
        <v>129168</v>
      </c>
      <c r="AC84" s="186">
        <f t="shared" si="9"/>
        <v>0</v>
      </c>
      <c r="AD84" s="186">
        <f t="shared" si="9"/>
        <v>129168</v>
      </c>
      <c r="AE84" s="186">
        <f t="shared" si="9"/>
        <v>0</v>
      </c>
      <c r="AF84" s="186">
        <f t="shared" si="9"/>
        <v>71760</v>
      </c>
      <c r="AG84" s="186">
        <f t="shared" si="9"/>
        <v>0</v>
      </c>
      <c r="AH84" s="186">
        <f t="shared" si="9"/>
        <v>0</v>
      </c>
      <c r="AI84" s="168"/>
    </row>
    <row r="85" spans="1:35" ht="12.75" customHeight="1">
      <c r="A85" s="168"/>
      <c r="B85" s="168"/>
      <c r="C85" s="63"/>
      <c r="D85" s="63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</row>
    <row r="86" spans="1:35" ht="12.75" customHeight="1">
      <c r="A86" s="168"/>
      <c r="B86" s="78"/>
      <c r="C86" s="55" t="s">
        <v>125</v>
      </c>
      <c r="D86" s="428">
        <f>((((((((((D80+E80)+F80)+G80)+H80)+I80)+J80)+K80)+L80)+M80)+N80)+O80</f>
        <v>861120</v>
      </c>
      <c r="E86" s="89"/>
      <c r="F86" s="503" t="s">
        <v>127</v>
      </c>
      <c r="G86" s="168">
        <f>((((((((((P80+Q80)+R80)+S80)+T80)+U80)+V80)+W80)+X80)+Y80)+Z80)+AA80</f>
        <v>1746160</v>
      </c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</row>
    <row r="87" spans="1:35" ht="12.75" customHeight="1">
      <c r="A87" s="168"/>
      <c r="B87" s="78"/>
      <c r="C87" s="28" t="s">
        <v>126</v>
      </c>
      <c r="D87" s="28"/>
      <c r="E87" s="89"/>
      <c r="F87" s="168" t="s">
        <v>128</v>
      </c>
      <c r="G87" s="503">
        <f>((((((((((P81+Q81)+R81)+S81)+T81)+U81)+V81)+W81)+X81)+Y81)+Z81)+AA81</f>
        <v>1755728</v>
      </c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</row>
    <row r="88" spans="1:35" ht="12.75" customHeight="1">
      <c r="A88" s="168"/>
      <c r="B88" s="78"/>
      <c r="C88" s="55" t="s">
        <v>129</v>
      </c>
      <c r="D88" s="55">
        <f>D86/(1+(19.6/100))</f>
        <v>720000</v>
      </c>
      <c r="E88" s="89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</row>
    <row r="89" spans="1:35" ht="12.75" customHeight="1">
      <c r="A89" s="168"/>
      <c r="B89" s="168"/>
      <c r="C89" s="142"/>
      <c r="D89" s="142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168"/>
    </row>
    <row r="90" spans="1:35" ht="12.75" customHeight="1">
      <c r="A90" s="168"/>
      <c r="B90" s="78"/>
      <c r="C90" s="55" t="s">
        <v>130</v>
      </c>
      <c r="D90" s="375">
        <f>((((((((((D81+E81)+F81)+G81)+H81)+I81)+J81)+K81)+L81)+M81)+N81)+O81</f>
        <v>741520</v>
      </c>
      <c r="E90" s="89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</row>
  </sheetData>
  <mergeCells count="3">
    <mergeCell ref="D1:O1"/>
    <mergeCell ref="P1:AA1"/>
    <mergeCell ref="AB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F22" sqref="F22"/>
    </sheetView>
  </sheetViews>
  <sheetFormatPr baseColWidth="10" defaultColWidth="10.6640625" defaultRowHeight="12.75" customHeight="1"/>
  <cols>
    <col min="1" max="1" width="47.6640625" customWidth="1"/>
    <col min="2" max="2" width="7.44140625" customWidth="1"/>
    <col min="3" max="3" width="9" customWidth="1"/>
    <col min="4" max="4" width="8.88671875" customWidth="1"/>
    <col min="5" max="5" width="9" customWidth="1"/>
    <col min="6" max="6" width="12.6640625" customWidth="1"/>
    <col min="7" max="7" width="9" customWidth="1"/>
    <col min="8" max="8" width="8.88671875" customWidth="1"/>
    <col min="9" max="9" width="9" customWidth="1"/>
  </cols>
  <sheetData>
    <row r="1" spans="1:14" ht="13.2">
      <c r="A1" s="436"/>
      <c r="B1" s="460" t="s">
        <v>131</v>
      </c>
      <c r="C1" s="460"/>
      <c r="D1" s="460"/>
      <c r="E1" s="460"/>
      <c r="F1" s="460" t="s">
        <v>132</v>
      </c>
      <c r="G1" s="460"/>
      <c r="H1" s="460"/>
      <c r="I1" s="460"/>
      <c r="J1" s="89"/>
      <c r="K1" s="168"/>
      <c r="L1" s="168"/>
      <c r="M1" s="168"/>
      <c r="N1" s="168"/>
    </row>
    <row r="2" spans="1:14" ht="33.75" customHeight="1">
      <c r="A2" s="353"/>
      <c r="B2" s="409"/>
      <c r="C2" s="508" t="s">
        <v>133</v>
      </c>
      <c r="D2" s="508" t="s">
        <v>134</v>
      </c>
      <c r="E2" s="508" t="s">
        <v>135</v>
      </c>
      <c r="F2" s="244"/>
      <c r="G2" s="508" t="s">
        <v>136</v>
      </c>
      <c r="H2" s="508" t="s">
        <v>137</v>
      </c>
      <c r="I2" s="509" t="s">
        <v>135</v>
      </c>
      <c r="J2" s="256"/>
      <c r="K2" s="168"/>
      <c r="L2" s="168"/>
      <c r="M2" s="168"/>
      <c r="N2" s="168"/>
    </row>
    <row r="3" spans="1:14" ht="13.2">
      <c r="A3" s="507" t="s">
        <v>138</v>
      </c>
      <c r="B3" s="520">
        <f>'Budget, PV contrat'!D18</f>
        <v>60838.442316461471</v>
      </c>
      <c r="C3" s="521"/>
      <c r="D3" s="521"/>
      <c r="E3" s="521"/>
      <c r="F3" s="520">
        <f>'Budget, PV contrat'!G18</f>
        <v>57607.937630121814</v>
      </c>
      <c r="G3" s="521"/>
      <c r="H3" s="521"/>
      <c r="I3" s="522"/>
      <c r="J3" s="256"/>
      <c r="K3" s="168"/>
      <c r="L3" s="168"/>
      <c r="M3" s="168"/>
      <c r="N3" s="168"/>
    </row>
    <row r="4" spans="1:14" ht="13.2">
      <c r="A4" s="504" t="s">
        <v>139</v>
      </c>
      <c r="B4" s="520" t="s">
        <v>11</v>
      </c>
      <c r="C4" s="510">
        <f>IF(('Tableau simu'!B11="oui"),($B$3*(75/100)))</f>
        <v>45628.831737346103</v>
      </c>
      <c r="D4" s="510">
        <f>IF(('Tableau simu'!B11="oui"),(('Tableau simu'!B20+'Tableau simu'!B21)*$B$3),0)</f>
        <v>30419.221158230735</v>
      </c>
      <c r="E4" s="510">
        <f>C4-D4</f>
        <v>15209.610579115368</v>
      </c>
      <c r="F4" s="244"/>
      <c r="G4" s="510">
        <f>IF(('Tableau simu'!C11="oui"),($F$3*(75/100)),0)</f>
        <v>43205.953222591357</v>
      </c>
      <c r="H4" s="510">
        <f>IF(('Tableau simu'!C11="oui"),(('Tableau simu'!C20+'Tableau simu'!C21)*$F$3),0)</f>
        <v>28803.968815060907</v>
      </c>
      <c r="I4" s="516">
        <f>G4-H4</f>
        <v>14401.98440753045</v>
      </c>
      <c r="J4" s="256"/>
      <c r="K4" s="168"/>
      <c r="L4" s="168"/>
      <c r="M4" s="168"/>
      <c r="N4" s="168"/>
    </row>
    <row r="5" spans="1:14" ht="13.2">
      <c r="A5" s="504" t="s">
        <v>140</v>
      </c>
      <c r="B5" s="520" t="s">
        <v>11</v>
      </c>
      <c r="C5" s="510">
        <f>IF(('Tableau simu'!B12="oui"),($B$3*(50/100)))</f>
        <v>30419.221158230735</v>
      </c>
      <c r="D5" s="510">
        <f>IF(('Tableau simu'!B11="oui"),(('Tableau simu'!B20+'Tableau simu'!B21)*$B$3),0)</f>
        <v>30419.221158230735</v>
      </c>
      <c r="E5" s="510">
        <f>C5-D5</f>
        <v>0</v>
      </c>
      <c r="F5" s="244"/>
      <c r="G5" s="510">
        <f>IF(('Tableau simu'!C12="oui"),($F$3*(50/100)))</f>
        <v>28803.968815060907</v>
      </c>
      <c r="H5" s="510">
        <f>IF(('Tableau simu'!C11="oui"),(('Tableau simu'!C20+'Tableau simu'!C21)*$F$3))</f>
        <v>28803.968815060907</v>
      </c>
      <c r="I5" s="516">
        <f>G5-H5</f>
        <v>0</v>
      </c>
      <c r="J5" s="256"/>
      <c r="K5" s="168"/>
      <c r="L5" s="168"/>
      <c r="M5" s="168"/>
      <c r="N5" s="168"/>
    </row>
    <row r="6" spans="1:14" ht="13.2">
      <c r="A6" s="504" t="s">
        <v>141</v>
      </c>
      <c r="B6" s="520" t="s">
        <v>11</v>
      </c>
      <c r="C6" s="510">
        <f>IF(('Tableau simu'!B13="oui"),($B$3*(25/100)))</f>
        <v>15209.610579115368</v>
      </c>
      <c r="D6" s="510">
        <f>IF(('Tableau simu'!B11="oui"),(('Tableau simu'!B20)*$B$3),0)</f>
        <v>6083.8442316461478</v>
      </c>
      <c r="E6" s="510">
        <f>C6-D6</f>
        <v>9125.7663474692199</v>
      </c>
      <c r="F6" s="244"/>
      <c r="G6" s="510">
        <f>IF(('Tableau simu'!C11="oui"),($F$3*(25/100)),0)</f>
        <v>14401.984407530454</v>
      </c>
      <c r="H6" s="510">
        <f>IF(('Tableau simu'!C11="oui"),(('Tableau simu'!C20)*$F$3),0)</f>
        <v>5760.7937630121814</v>
      </c>
      <c r="I6" s="516">
        <f>G6-H6</f>
        <v>8641.1906445182722</v>
      </c>
      <c r="J6" s="256"/>
      <c r="K6" s="168"/>
      <c r="L6" s="168"/>
      <c r="M6" s="168"/>
      <c r="N6" s="168"/>
    </row>
    <row r="7" spans="1:14" ht="13.2">
      <c r="A7" s="504" t="s">
        <v>142</v>
      </c>
      <c r="B7" s="520" t="s">
        <v>11</v>
      </c>
      <c r="C7" s="510">
        <f>IF(('Tableau simu'!B12="oui"),($B$3*(0/100)),0)</f>
        <v>0</v>
      </c>
      <c r="D7" s="510">
        <f>IF(('Tableau simu'!B11="oui"),(('Tableau simu'!B20)*$B$3),0)</f>
        <v>6083.8442316461478</v>
      </c>
      <c r="E7" s="510">
        <f>C7-D7</f>
        <v>-6083.8442316461478</v>
      </c>
      <c r="F7" s="244"/>
      <c r="G7" s="510">
        <f>IF(('Tableau simu'!C11="oui"),($F$3*(0/100)),0)</f>
        <v>0</v>
      </c>
      <c r="H7" s="510">
        <f>IF(('Tableau simu'!C11="oui"),(('Tableau simu'!C20)*$F$3),0)</f>
        <v>5760.7937630121814</v>
      </c>
      <c r="I7" s="516">
        <f>G7-H7</f>
        <v>-5760.7937630121814</v>
      </c>
      <c r="J7" s="256"/>
      <c r="K7" s="168"/>
      <c r="L7" s="168"/>
      <c r="M7" s="168"/>
      <c r="N7" s="168"/>
    </row>
    <row r="8" spans="1:14" ht="13.2">
      <c r="A8" s="352" t="s">
        <v>143</v>
      </c>
      <c r="B8" s="523"/>
      <c r="C8" s="511"/>
      <c r="D8" s="510"/>
      <c r="E8" s="512">
        <f>SUM(E4:E7)</f>
        <v>18251.53269493844</v>
      </c>
      <c r="F8" s="244"/>
      <c r="G8" s="511"/>
      <c r="H8" s="511"/>
      <c r="I8" s="517">
        <f>SUM(I4:I7)</f>
        <v>17282.381289036541</v>
      </c>
      <c r="J8" s="256"/>
      <c r="K8" s="168"/>
      <c r="L8" s="168"/>
      <c r="M8" s="168"/>
      <c r="N8" s="168"/>
    </row>
    <row r="9" spans="1:14" ht="13.2">
      <c r="A9" s="190"/>
      <c r="B9" s="521"/>
      <c r="C9" s="511"/>
      <c r="D9" s="510"/>
      <c r="E9" s="510">
        <f>E8</f>
        <v>18251.53269493844</v>
      </c>
      <c r="F9" s="244"/>
      <c r="G9" s="511"/>
      <c r="H9" s="511"/>
      <c r="I9" s="516">
        <f>I8</f>
        <v>17282.381289036541</v>
      </c>
      <c r="J9" s="256"/>
      <c r="K9" s="168"/>
      <c r="L9" s="168"/>
      <c r="M9" s="168"/>
      <c r="N9" s="168"/>
    </row>
    <row r="10" spans="1:14" ht="13.2">
      <c r="A10" s="507" t="s">
        <v>144</v>
      </c>
      <c r="B10" s="521">
        <v>0</v>
      </c>
      <c r="C10" s="511"/>
      <c r="D10" s="510"/>
      <c r="E10" s="513"/>
      <c r="F10" s="43">
        <f>'Budget, PV contrat'!J18</f>
        <v>74407.937630121814</v>
      </c>
      <c r="G10" s="511"/>
      <c r="H10" s="511"/>
      <c r="I10" s="518"/>
      <c r="J10" s="256"/>
      <c r="K10" s="168"/>
      <c r="L10" s="168"/>
      <c r="M10" s="168"/>
      <c r="N10" s="168"/>
    </row>
    <row r="11" spans="1:14" ht="13.2">
      <c r="A11" s="504" t="s">
        <v>145</v>
      </c>
      <c r="B11" s="521"/>
      <c r="C11" s="511"/>
      <c r="D11" s="510"/>
      <c r="E11" s="513"/>
      <c r="F11" s="244"/>
      <c r="G11" s="510">
        <f>IF(('Tableau simu'!D10="oui"),($F$10*(80/100)),0)</f>
        <v>59526.350104097452</v>
      </c>
      <c r="H11" s="510">
        <f>IF(('Tableau simu'!D10="oui"),(('Tableau simu'!D20+'Tableau simu'!D21)*$F$10),0)</f>
        <v>37203.968815060907</v>
      </c>
      <c r="I11" s="516">
        <f>G11-H11</f>
        <v>22322.381289036544</v>
      </c>
      <c r="J11" s="256"/>
      <c r="K11" s="168"/>
      <c r="L11" s="168"/>
      <c r="M11" s="168"/>
      <c r="N11" s="168"/>
    </row>
    <row r="12" spans="1:14" ht="13.2">
      <c r="A12" s="504" t="s">
        <v>146</v>
      </c>
      <c r="B12" s="521"/>
      <c r="C12" s="511"/>
      <c r="D12" s="510"/>
      <c r="E12" s="513"/>
      <c r="F12" s="244"/>
      <c r="G12" s="510">
        <f>IF(('Tableau simu'!D11="oui"),($F$10*(60/100)),0)</f>
        <v>0</v>
      </c>
      <c r="H12" s="510">
        <f>IF(('Tableau simu'!D11="oui"),(('Tableau simu'!D20+'Tableau simu'!D21)*$F$10),0)</f>
        <v>0</v>
      </c>
      <c r="I12" s="516">
        <f>G12-H12</f>
        <v>0</v>
      </c>
      <c r="J12" s="256"/>
      <c r="K12" s="168"/>
      <c r="L12" s="168"/>
      <c r="M12" s="168"/>
      <c r="N12" s="168"/>
    </row>
    <row r="13" spans="1:14" ht="13.2">
      <c r="A13" s="504" t="s">
        <v>147</v>
      </c>
      <c r="B13" s="521"/>
      <c r="C13" s="511"/>
      <c r="D13" s="510"/>
      <c r="E13" s="513"/>
      <c r="F13" s="244"/>
      <c r="G13" s="510">
        <f>IF(('Tableau simu'!D12="oui"),($F$10*(40/100)),0)</f>
        <v>29763.175052048726</v>
      </c>
      <c r="H13" s="510">
        <f>IF(('Tableau simu'!D12="oui"),(('Tableau simu'!D20)*$F$10),0)</f>
        <v>7440.7937630121814</v>
      </c>
      <c r="I13" s="516">
        <f>G13-H13</f>
        <v>22322.381289036544</v>
      </c>
      <c r="J13" s="256"/>
      <c r="K13" s="168"/>
      <c r="L13" s="168"/>
      <c r="M13" s="168"/>
      <c r="N13" s="168"/>
    </row>
    <row r="14" spans="1:14" ht="13.2">
      <c r="A14" s="504" t="s">
        <v>148</v>
      </c>
      <c r="B14" s="521"/>
      <c r="C14" s="511"/>
      <c r="D14" s="510"/>
      <c r="E14" s="513"/>
      <c r="F14" s="244"/>
      <c r="G14" s="510">
        <f>IF(('Tableau simu'!D13="oui"),($F$10*(10/100)),0)</f>
        <v>0</v>
      </c>
      <c r="H14" s="510">
        <f>IF(('Tableau simu'!D13="oui"),(('Tableau simu'!D20)*$F$10),0)</f>
        <v>0</v>
      </c>
      <c r="I14" s="516">
        <f>G14-H14</f>
        <v>0</v>
      </c>
      <c r="J14" s="256"/>
      <c r="K14" s="168"/>
      <c r="L14" s="168"/>
      <c r="M14" s="168"/>
      <c r="N14" s="168"/>
    </row>
    <row r="15" spans="1:14" ht="13.2">
      <c r="A15" s="504" t="s">
        <v>142</v>
      </c>
      <c r="B15" s="521"/>
      <c r="C15" s="511"/>
      <c r="D15" s="510"/>
      <c r="E15" s="513"/>
      <c r="F15" s="244"/>
      <c r="G15" s="510">
        <f>IF(('Tableau simu'!D14="oui"),($F$10*(0/100)),0)</f>
        <v>0</v>
      </c>
      <c r="H15" s="510">
        <f>IF(('Tableau simu'!D14="oui"),(('Tableau simu'!D20)*$F$10),0)</f>
        <v>7440.7937630121814</v>
      </c>
      <c r="I15" s="516">
        <f>G15-H15</f>
        <v>-7440.7937630121814</v>
      </c>
      <c r="J15" s="256"/>
      <c r="K15" s="168"/>
      <c r="L15" s="168"/>
      <c r="M15" s="168"/>
      <c r="N15" s="168"/>
    </row>
    <row r="16" spans="1:14" ht="13.2">
      <c r="A16" s="352" t="s">
        <v>149</v>
      </c>
      <c r="B16" s="521"/>
      <c r="C16" s="511"/>
      <c r="D16" s="510"/>
      <c r="E16" s="513">
        <v>0</v>
      </c>
      <c r="F16" s="244"/>
      <c r="G16" s="511"/>
      <c r="H16" s="511"/>
      <c r="I16" s="517">
        <f>SUM(I11:I15)</f>
        <v>37203.968815060907</v>
      </c>
      <c r="J16" s="256"/>
      <c r="K16" s="168"/>
      <c r="L16" s="168"/>
      <c r="M16" s="168"/>
      <c r="N16" s="168"/>
    </row>
    <row r="17" spans="1:14" ht="13.2">
      <c r="A17" s="505" t="s">
        <v>150</v>
      </c>
      <c r="B17" s="521"/>
      <c r="C17" s="511"/>
      <c r="D17" s="510"/>
      <c r="E17" s="512">
        <f>E8+E16</f>
        <v>18251.53269493844</v>
      </c>
      <c r="F17" s="244"/>
      <c r="G17" s="511"/>
      <c r="H17" s="511"/>
      <c r="I17" s="517">
        <f>I16+I9</f>
        <v>54486.350104097452</v>
      </c>
      <c r="J17" s="123"/>
      <c r="K17" s="276"/>
      <c r="L17" s="276"/>
      <c r="M17" s="276"/>
      <c r="N17" s="276"/>
    </row>
    <row r="18" spans="1:14" ht="13.2">
      <c r="A18" s="190"/>
      <c r="B18" s="521"/>
      <c r="C18" s="511"/>
      <c r="D18" s="511"/>
      <c r="E18" s="511"/>
      <c r="F18" s="244"/>
      <c r="G18" s="511"/>
      <c r="H18" s="511"/>
      <c r="I18" s="518"/>
      <c r="J18" s="123"/>
      <c r="K18" s="276"/>
      <c r="L18" s="276"/>
      <c r="M18" s="276"/>
      <c r="N18" s="276"/>
    </row>
    <row r="19" spans="1:14" ht="13.5" customHeight="1">
      <c r="A19" s="506" t="s">
        <v>151</v>
      </c>
      <c r="B19" s="524"/>
      <c r="C19" s="514"/>
      <c r="D19" s="514"/>
      <c r="E19" s="515">
        <f>E17</f>
        <v>18251.53269493844</v>
      </c>
      <c r="F19" s="275"/>
      <c r="G19" s="514"/>
      <c r="H19" s="514"/>
      <c r="I19" s="519">
        <f>I17</f>
        <v>54486.350104097452</v>
      </c>
      <c r="J19" s="123"/>
      <c r="K19" s="276"/>
      <c r="L19" s="276"/>
      <c r="M19" s="276"/>
      <c r="N19" s="276"/>
    </row>
    <row r="20" spans="1:14" ht="13.2">
      <c r="A20" s="402"/>
      <c r="B20" s="402"/>
      <c r="C20" s="402"/>
      <c r="D20" s="402"/>
      <c r="E20" s="402"/>
      <c r="F20" s="402"/>
      <c r="G20" s="402"/>
      <c r="H20" s="402"/>
      <c r="I20" s="402"/>
      <c r="J20" s="168"/>
      <c r="K20" s="168"/>
      <c r="L20" s="168"/>
      <c r="M20" s="168"/>
      <c r="N20" s="168"/>
    </row>
  </sheetData>
  <mergeCells count="2">
    <mergeCell ref="B1:E1"/>
    <mergeCell ref="F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20"/>
  <sheetViews>
    <sheetView workbookViewId="0">
      <selection activeCell="U21" sqref="U21"/>
    </sheetView>
  </sheetViews>
  <sheetFormatPr baseColWidth="10" defaultColWidth="10.6640625" defaultRowHeight="12.75" customHeight="1"/>
  <cols>
    <col min="1" max="1" width="3.5546875" customWidth="1"/>
    <col min="2" max="2" width="20.88671875" customWidth="1"/>
    <col min="3" max="3" width="6.6640625" customWidth="1"/>
    <col min="4" max="14" width="5.33203125" customWidth="1"/>
    <col min="15" max="16" width="6.109375" customWidth="1"/>
    <col min="17" max="17" width="6.6640625" customWidth="1"/>
    <col min="18" max="28" width="5.33203125" customWidth="1"/>
    <col min="29" max="30" width="6.109375" customWidth="1"/>
  </cols>
  <sheetData>
    <row r="1" spans="1:30" ht="13.5" customHeight="1">
      <c r="A1" s="31">
        <v>1</v>
      </c>
      <c r="B1" s="31" t="s">
        <v>152</v>
      </c>
      <c r="C1" s="157" t="s">
        <v>153</v>
      </c>
      <c r="D1" s="157" t="s">
        <v>93</v>
      </c>
      <c r="E1" s="157" t="s">
        <v>154</v>
      </c>
      <c r="F1" s="157" t="s">
        <v>87</v>
      </c>
      <c r="G1" s="157" t="s">
        <v>155</v>
      </c>
      <c r="H1" s="157" t="s">
        <v>156</v>
      </c>
      <c r="I1" s="157" t="s">
        <v>157</v>
      </c>
      <c r="J1" s="157" t="s">
        <v>86</v>
      </c>
      <c r="K1" s="157" t="s">
        <v>158</v>
      </c>
      <c r="L1" s="157" t="s">
        <v>86</v>
      </c>
      <c r="M1" s="157" t="s">
        <v>88</v>
      </c>
      <c r="N1" s="157" t="s">
        <v>92</v>
      </c>
      <c r="O1" s="157" t="s">
        <v>91</v>
      </c>
      <c r="P1" s="157" t="s">
        <v>159</v>
      </c>
      <c r="Q1" s="157" t="s">
        <v>160</v>
      </c>
      <c r="R1" s="157" t="s">
        <v>161</v>
      </c>
      <c r="S1" s="157" t="s">
        <v>90</v>
      </c>
      <c r="T1" s="157" t="s">
        <v>162</v>
      </c>
      <c r="U1" s="157" t="s">
        <v>163</v>
      </c>
      <c r="V1" s="157" t="s">
        <v>164</v>
      </c>
      <c r="W1" s="157" t="s">
        <v>165</v>
      </c>
      <c r="X1" s="157" t="s">
        <v>166</v>
      </c>
      <c r="Y1" s="157" t="s">
        <v>167</v>
      </c>
      <c r="Z1" s="157" t="s">
        <v>89</v>
      </c>
      <c r="AA1" s="157" t="s">
        <v>168</v>
      </c>
      <c r="AB1" s="157" t="s">
        <v>169</v>
      </c>
      <c r="AC1" s="157" t="s">
        <v>170</v>
      </c>
      <c r="AD1" s="157" t="s">
        <v>171</v>
      </c>
    </row>
    <row r="2" spans="1:30" ht="13.2">
      <c r="A2" s="31">
        <v>2</v>
      </c>
      <c r="B2" s="423"/>
      <c r="C2" s="461" t="s">
        <v>172</v>
      </c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3"/>
      <c r="Q2" s="464" t="s">
        <v>173</v>
      </c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</row>
    <row r="3" spans="1:30" ht="34.5" customHeight="1">
      <c r="A3" s="31">
        <v>3</v>
      </c>
      <c r="B3" s="394"/>
      <c r="C3" s="292" t="s">
        <v>174</v>
      </c>
      <c r="D3" s="527" t="s">
        <v>175</v>
      </c>
      <c r="E3" s="527" t="s">
        <v>176</v>
      </c>
      <c r="F3" s="527" t="s">
        <v>15</v>
      </c>
      <c r="G3" s="527" t="s">
        <v>177</v>
      </c>
      <c r="H3" s="527" t="s">
        <v>19</v>
      </c>
      <c r="I3" s="527" t="s">
        <v>20</v>
      </c>
      <c r="J3" s="527" t="s">
        <v>178</v>
      </c>
      <c r="K3" s="527" t="s">
        <v>24</v>
      </c>
      <c r="L3" s="527" t="s">
        <v>179</v>
      </c>
      <c r="M3" s="527" t="s">
        <v>180</v>
      </c>
      <c r="N3" s="527" t="s">
        <v>181</v>
      </c>
      <c r="O3" s="527" t="s">
        <v>182</v>
      </c>
      <c r="P3" s="171" t="s">
        <v>183</v>
      </c>
      <c r="Q3" s="292" t="s">
        <v>174</v>
      </c>
      <c r="R3" s="527" t="s">
        <v>175</v>
      </c>
      <c r="S3" s="527" t="s">
        <v>176</v>
      </c>
      <c r="T3" s="527" t="s">
        <v>15</v>
      </c>
      <c r="U3" s="527" t="s">
        <v>177</v>
      </c>
      <c r="V3" s="527" t="s">
        <v>19</v>
      </c>
      <c r="W3" s="527" t="s">
        <v>20</v>
      </c>
      <c r="X3" s="527" t="s">
        <v>178</v>
      </c>
      <c r="Y3" s="527" t="s">
        <v>24</v>
      </c>
      <c r="Z3" s="527" t="s">
        <v>179</v>
      </c>
      <c r="AA3" s="527" t="s">
        <v>180</v>
      </c>
      <c r="AB3" s="527" t="s">
        <v>181</v>
      </c>
      <c r="AC3" s="527" t="s">
        <v>182</v>
      </c>
      <c r="AD3" s="171" t="s">
        <v>183</v>
      </c>
    </row>
    <row r="4" spans="1:30" ht="13.2">
      <c r="A4" s="318">
        <v>4</v>
      </c>
      <c r="B4" s="370"/>
      <c r="C4" s="227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412"/>
      <c r="Q4" s="190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00"/>
    </row>
    <row r="5" spans="1:30" ht="13.2">
      <c r="A5" s="318">
        <v>5</v>
      </c>
      <c r="B5" s="525" t="s">
        <v>62</v>
      </c>
      <c r="C5" s="528">
        <f>'Tableau simu'!B34</f>
        <v>3000</v>
      </c>
      <c r="D5" s="432">
        <f t="shared" ref="D5:O5" si="0">$C$5</f>
        <v>3000</v>
      </c>
      <c r="E5" s="173">
        <f t="shared" si="0"/>
        <v>3000</v>
      </c>
      <c r="F5" s="173">
        <f t="shared" si="0"/>
        <v>3000</v>
      </c>
      <c r="G5" s="173">
        <f t="shared" si="0"/>
        <v>3000</v>
      </c>
      <c r="H5" s="173">
        <f t="shared" si="0"/>
        <v>3000</v>
      </c>
      <c r="I5" s="173">
        <f t="shared" si="0"/>
        <v>3000</v>
      </c>
      <c r="J5" s="173">
        <f t="shared" si="0"/>
        <v>3000</v>
      </c>
      <c r="K5" s="173">
        <f t="shared" si="0"/>
        <v>3000</v>
      </c>
      <c r="L5" s="173">
        <f t="shared" si="0"/>
        <v>3000</v>
      </c>
      <c r="M5" s="173">
        <f t="shared" si="0"/>
        <v>3000</v>
      </c>
      <c r="N5" s="173">
        <f t="shared" si="0"/>
        <v>3000</v>
      </c>
      <c r="O5" s="173">
        <f t="shared" si="0"/>
        <v>3000</v>
      </c>
      <c r="P5" s="100">
        <f>SUM(D5:O5)</f>
        <v>36000</v>
      </c>
      <c r="Q5" s="530">
        <v>3500</v>
      </c>
      <c r="R5" s="173">
        <f t="shared" ref="R5:AC5" si="1">$Q$5</f>
        <v>3500</v>
      </c>
      <c r="S5" s="173">
        <f t="shared" si="1"/>
        <v>3500</v>
      </c>
      <c r="T5" s="173">
        <f t="shared" si="1"/>
        <v>3500</v>
      </c>
      <c r="U5" s="173">
        <f t="shared" si="1"/>
        <v>3500</v>
      </c>
      <c r="V5" s="173">
        <f t="shared" si="1"/>
        <v>3500</v>
      </c>
      <c r="W5" s="173">
        <f t="shared" si="1"/>
        <v>3500</v>
      </c>
      <c r="X5" s="173">
        <f t="shared" si="1"/>
        <v>3500</v>
      </c>
      <c r="Y5" s="173">
        <f t="shared" si="1"/>
        <v>3500</v>
      </c>
      <c r="Z5" s="173">
        <f t="shared" si="1"/>
        <v>3500</v>
      </c>
      <c r="AA5" s="173">
        <f t="shared" si="1"/>
        <v>3500</v>
      </c>
      <c r="AB5" s="173">
        <f t="shared" si="1"/>
        <v>3500</v>
      </c>
      <c r="AC5" s="173">
        <f t="shared" si="1"/>
        <v>3500</v>
      </c>
      <c r="AD5" s="100">
        <f t="shared" ref="AD5:AD14" si="2">SUM(R5:AC5)</f>
        <v>42000</v>
      </c>
    </row>
    <row r="6" spans="1:30" ht="13.2">
      <c r="A6" s="318">
        <v>6</v>
      </c>
      <c r="B6" s="525" t="s">
        <v>63</v>
      </c>
      <c r="C6" s="528">
        <f>'Tableau simu'!B35</f>
        <v>3000</v>
      </c>
      <c r="D6" s="432">
        <f t="shared" ref="D6:O6" si="3">$C$6</f>
        <v>3000</v>
      </c>
      <c r="E6" s="173">
        <f t="shared" si="3"/>
        <v>3000</v>
      </c>
      <c r="F6" s="173">
        <f t="shared" si="3"/>
        <v>3000</v>
      </c>
      <c r="G6" s="173">
        <f t="shared" si="3"/>
        <v>3000</v>
      </c>
      <c r="H6" s="173">
        <f t="shared" si="3"/>
        <v>3000</v>
      </c>
      <c r="I6" s="173">
        <f t="shared" si="3"/>
        <v>3000</v>
      </c>
      <c r="J6" s="173">
        <f t="shared" si="3"/>
        <v>3000</v>
      </c>
      <c r="K6" s="173">
        <f t="shared" si="3"/>
        <v>3000</v>
      </c>
      <c r="L6" s="173">
        <f t="shared" si="3"/>
        <v>3000</v>
      </c>
      <c r="M6" s="173">
        <f t="shared" si="3"/>
        <v>3000</v>
      </c>
      <c r="N6" s="173">
        <f t="shared" si="3"/>
        <v>3000</v>
      </c>
      <c r="O6" s="173">
        <f t="shared" si="3"/>
        <v>3000</v>
      </c>
      <c r="P6" s="100">
        <f>SUM(D6:O6)</f>
        <v>36000</v>
      </c>
      <c r="Q6" s="530">
        <v>3500</v>
      </c>
      <c r="R6" s="173">
        <f t="shared" ref="R6:AC6" si="4">$Q$6</f>
        <v>3500</v>
      </c>
      <c r="S6" s="173">
        <f t="shared" si="4"/>
        <v>3500</v>
      </c>
      <c r="T6" s="173">
        <f t="shared" si="4"/>
        <v>3500</v>
      </c>
      <c r="U6" s="173">
        <f t="shared" si="4"/>
        <v>3500</v>
      </c>
      <c r="V6" s="173">
        <f t="shared" si="4"/>
        <v>3500</v>
      </c>
      <c r="W6" s="173">
        <f t="shared" si="4"/>
        <v>3500</v>
      </c>
      <c r="X6" s="173">
        <f t="shared" si="4"/>
        <v>3500</v>
      </c>
      <c r="Y6" s="173">
        <f t="shared" si="4"/>
        <v>3500</v>
      </c>
      <c r="Z6" s="173">
        <f t="shared" si="4"/>
        <v>3500</v>
      </c>
      <c r="AA6" s="173">
        <f t="shared" si="4"/>
        <v>3500</v>
      </c>
      <c r="AB6" s="173">
        <f t="shared" si="4"/>
        <v>3500</v>
      </c>
      <c r="AC6" s="173">
        <f t="shared" si="4"/>
        <v>3500</v>
      </c>
      <c r="AD6" s="100">
        <f t="shared" si="2"/>
        <v>42000</v>
      </c>
    </row>
    <row r="7" spans="1:30" ht="13.2">
      <c r="A7" s="318">
        <v>7</v>
      </c>
      <c r="B7" s="525" t="s">
        <v>64</v>
      </c>
      <c r="C7" s="528">
        <f>'Tableau simu'!B36</f>
        <v>3000</v>
      </c>
      <c r="D7" s="432">
        <f t="shared" ref="D7:O7" si="5">$C$7</f>
        <v>3000</v>
      </c>
      <c r="E7" s="173">
        <f t="shared" si="5"/>
        <v>3000</v>
      </c>
      <c r="F7" s="173">
        <f t="shared" si="5"/>
        <v>3000</v>
      </c>
      <c r="G7" s="173">
        <f t="shared" si="5"/>
        <v>3000</v>
      </c>
      <c r="H7" s="173">
        <f t="shared" si="5"/>
        <v>3000</v>
      </c>
      <c r="I7" s="173">
        <f t="shared" si="5"/>
        <v>3000</v>
      </c>
      <c r="J7" s="173">
        <f t="shared" si="5"/>
        <v>3000</v>
      </c>
      <c r="K7" s="173">
        <f t="shared" si="5"/>
        <v>3000</v>
      </c>
      <c r="L7" s="173">
        <f t="shared" si="5"/>
        <v>3000</v>
      </c>
      <c r="M7" s="173">
        <f t="shared" si="5"/>
        <v>3000</v>
      </c>
      <c r="N7" s="173">
        <f t="shared" si="5"/>
        <v>3000</v>
      </c>
      <c r="O7" s="173">
        <f t="shared" si="5"/>
        <v>3000</v>
      </c>
      <c r="P7" s="100">
        <f>SUM(D7:O7)</f>
        <v>36000</v>
      </c>
      <c r="Q7" s="530">
        <v>3500</v>
      </c>
      <c r="R7" s="173">
        <f t="shared" ref="R7:AC7" si="6">$Q$7</f>
        <v>3500</v>
      </c>
      <c r="S7" s="173">
        <f t="shared" si="6"/>
        <v>3500</v>
      </c>
      <c r="T7" s="173">
        <f t="shared" si="6"/>
        <v>3500</v>
      </c>
      <c r="U7" s="173">
        <f t="shared" si="6"/>
        <v>3500</v>
      </c>
      <c r="V7" s="173">
        <f t="shared" si="6"/>
        <v>3500</v>
      </c>
      <c r="W7" s="173">
        <f t="shared" si="6"/>
        <v>3500</v>
      </c>
      <c r="X7" s="173">
        <f t="shared" si="6"/>
        <v>3500</v>
      </c>
      <c r="Y7" s="173">
        <f t="shared" si="6"/>
        <v>3500</v>
      </c>
      <c r="Z7" s="173">
        <f t="shared" si="6"/>
        <v>3500</v>
      </c>
      <c r="AA7" s="173">
        <f t="shared" si="6"/>
        <v>3500</v>
      </c>
      <c r="AB7" s="173">
        <f t="shared" si="6"/>
        <v>3500</v>
      </c>
      <c r="AC7" s="173">
        <f t="shared" si="6"/>
        <v>3500</v>
      </c>
      <c r="AD7" s="100">
        <f t="shared" si="2"/>
        <v>42000</v>
      </c>
    </row>
    <row r="8" spans="1:30" ht="13.2">
      <c r="A8" s="318">
        <v>8</v>
      </c>
      <c r="B8" s="525" t="s">
        <v>65</v>
      </c>
      <c r="C8" s="528">
        <f>'Tableau simu'!B37</f>
        <v>1200</v>
      </c>
      <c r="D8" s="432">
        <f t="shared" ref="D8:O8" si="7">$C$8</f>
        <v>1200</v>
      </c>
      <c r="E8" s="173">
        <f t="shared" si="7"/>
        <v>1200</v>
      </c>
      <c r="F8" s="173">
        <f t="shared" si="7"/>
        <v>1200</v>
      </c>
      <c r="G8" s="173">
        <f t="shared" si="7"/>
        <v>1200</v>
      </c>
      <c r="H8" s="173">
        <f t="shared" si="7"/>
        <v>1200</v>
      </c>
      <c r="I8" s="173">
        <f t="shared" si="7"/>
        <v>1200</v>
      </c>
      <c r="J8" s="173">
        <f t="shared" si="7"/>
        <v>1200</v>
      </c>
      <c r="K8" s="173">
        <f t="shared" si="7"/>
        <v>1200</v>
      </c>
      <c r="L8" s="173">
        <f t="shared" si="7"/>
        <v>1200</v>
      </c>
      <c r="M8" s="173">
        <f t="shared" si="7"/>
        <v>1200</v>
      </c>
      <c r="N8" s="173">
        <f t="shared" si="7"/>
        <v>1200</v>
      </c>
      <c r="O8" s="173">
        <f t="shared" si="7"/>
        <v>1200</v>
      </c>
      <c r="P8" s="100">
        <f>SUM(D8:O8)</f>
        <v>14400</v>
      </c>
      <c r="Q8" s="530">
        <v>1500</v>
      </c>
      <c r="R8" s="173">
        <f t="shared" ref="R8:AC8" si="8">$Q$8</f>
        <v>1500</v>
      </c>
      <c r="S8" s="173">
        <f t="shared" si="8"/>
        <v>1500</v>
      </c>
      <c r="T8" s="173">
        <f t="shared" si="8"/>
        <v>1500</v>
      </c>
      <c r="U8" s="173">
        <f t="shared" si="8"/>
        <v>1500</v>
      </c>
      <c r="V8" s="173">
        <f t="shared" si="8"/>
        <v>1500</v>
      </c>
      <c r="W8" s="173">
        <f t="shared" si="8"/>
        <v>1500</v>
      </c>
      <c r="X8" s="173">
        <f t="shared" si="8"/>
        <v>1500</v>
      </c>
      <c r="Y8" s="173">
        <f t="shared" si="8"/>
        <v>1500</v>
      </c>
      <c r="Z8" s="173">
        <f t="shared" si="8"/>
        <v>1500</v>
      </c>
      <c r="AA8" s="173">
        <f t="shared" si="8"/>
        <v>1500</v>
      </c>
      <c r="AB8" s="173">
        <f t="shared" si="8"/>
        <v>1500</v>
      </c>
      <c r="AC8" s="173">
        <f t="shared" si="8"/>
        <v>1500</v>
      </c>
      <c r="AD8" s="100">
        <f t="shared" si="2"/>
        <v>18000</v>
      </c>
    </row>
    <row r="9" spans="1:30" ht="13.2">
      <c r="A9" s="318">
        <v>9</v>
      </c>
      <c r="B9" s="525" t="s">
        <v>66</v>
      </c>
      <c r="C9" s="528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00"/>
      <c r="Q9" s="530">
        <v>2800</v>
      </c>
      <c r="R9" s="98">
        <f t="shared" ref="R9:AC9" si="9">$Q$9</f>
        <v>2800</v>
      </c>
      <c r="S9" s="173">
        <f t="shared" si="9"/>
        <v>2800</v>
      </c>
      <c r="T9" s="173">
        <f t="shared" si="9"/>
        <v>2800</v>
      </c>
      <c r="U9" s="173">
        <f t="shared" si="9"/>
        <v>2800</v>
      </c>
      <c r="V9" s="173">
        <f t="shared" si="9"/>
        <v>2800</v>
      </c>
      <c r="W9" s="173">
        <f t="shared" si="9"/>
        <v>2800</v>
      </c>
      <c r="X9" s="173">
        <f t="shared" si="9"/>
        <v>2800</v>
      </c>
      <c r="Y9" s="173">
        <f t="shared" si="9"/>
        <v>2800</v>
      </c>
      <c r="Z9" s="173">
        <f t="shared" si="9"/>
        <v>2800</v>
      </c>
      <c r="AA9" s="173">
        <f t="shared" si="9"/>
        <v>2800</v>
      </c>
      <c r="AB9" s="173">
        <f t="shared" si="9"/>
        <v>2800</v>
      </c>
      <c r="AC9" s="173">
        <f t="shared" si="9"/>
        <v>2800</v>
      </c>
      <c r="AD9" s="100">
        <f t="shared" si="2"/>
        <v>33600</v>
      </c>
    </row>
    <row r="10" spans="1:30" ht="13.2">
      <c r="A10" s="318">
        <v>10</v>
      </c>
      <c r="B10" s="525" t="s">
        <v>184</v>
      </c>
      <c r="C10" s="528">
        <f>'Tableau simu'!B39</f>
        <v>3000</v>
      </c>
      <c r="D10" s="432">
        <f t="shared" ref="D10:O10" si="10">$C$10</f>
        <v>3000</v>
      </c>
      <c r="E10" s="173">
        <f t="shared" si="10"/>
        <v>3000</v>
      </c>
      <c r="F10" s="173">
        <f t="shared" si="10"/>
        <v>3000</v>
      </c>
      <c r="G10" s="173">
        <f t="shared" si="10"/>
        <v>3000</v>
      </c>
      <c r="H10" s="173">
        <f t="shared" si="10"/>
        <v>3000</v>
      </c>
      <c r="I10" s="173">
        <f t="shared" si="10"/>
        <v>3000</v>
      </c>
      <c r="J10" s="173">
        <f t="shared" si="10"/>
        <v>3000</v>
      </c>
      <c r="K10" s="173">
        <f t="shared" si="10"/>
        <v>3000</v>
      </c>
      <c r="L10" s="173">
        <f t="shared" si="10"/>
        <v>3000</v>
      </c>
      <c r="M10" s="173">
        <f t="shared" si="10"/>
        <v>3000</v>
      </c>
      <c r="N10" s="173">
        <f t="shared" si="10"/>
        <v>3000</v>
      </c>
      <c r="O10" s="173">
        <f t="shared" si="10"/>
        <v>3000</v>
      </c>
      <c r="P10" s="100">
        <f>SUM(D10:O10)</f>
        <v>36000</v>
      </c>
      <c r="Q10" s="530">
        <v>3500</v>
      </c>
      <c r="R10" s="173">
        <f>$Q$10</f>
        <v>3500</v>
      </c>
      <c r="S10" s="98">
        <f t="shared" ref="S10:AC10" si="11">$Q$10*2</f>
        <v>7000</v>
      </c>
      <c r="T10" s="324">
        <f t="shared" si="11"/>
        <v>7000</v>
      </c>
      <c r="U10" s="324">
        <f t="shared" si="11"/>
        <v>7000</v>
      </c>
      <c r="V10" s="324">
        <f t="shared" si="11"/>
        <v>7000</v>
      </c>
      <c r="W10" s="324">
        <f t="shared" si="11"/>
        <v>7000</v>
      </c>
      <c r="X10" s="324">
        <f t="shared" si="11"/>
        <v>7000</v>
      </c>
      <c r="Y10" s="324">
        <f t="shared" si="11"/>
        <v>7000</v>
      </c>
      <c r="Z10" s="324">
        <f t="shared" si="11"/>
        <v>7000</v>
      </c>
      <c r="AA10" s="324">
        <f t="shared" si="11"/>
        <v>7000</v>
      </c>
      <c r="AB10" s="324">
        <f t="shared" si="11"/>
        <v>7000</v>
      </c>
      <c r="AC10" s="324">
        <f t="shared" si="11"/>
        <v>7000</v>
      </c>
      <c r="AD10" s="100">
        <f t="shared" si="2"/>
        <v>80500</v>
      </c>
    </row>
    <row r="11" spans="1:30" ht="13.2">
      <c r="A11" s="318">
        <v>11</v>
      </c>
      <c r="B11" s="525" t="s">
        <v>185</v>
      </c>
      <c r="C11" s="528">
        <f>'Tableau simu'!B40</f>
        <v>2500</v>
      </c>
      <c r="D11" s="173"/>
      <c r="E11" s="173"/>
      <c r="F11" s="173"/>
      <c r="G11" s="432">
        <f t="shared" ref="G11:O11" si="12">$C$11</f>
        <v>2500</v>
      </c>
      <c r="H11" s="173">
        <f t="shared" si="12"/>
        <v>2500</v>
      </c>
      <c r="I11" s="173">
        <f t="shared" si="12"/>
        <v>2500</v>
      </c>
      <c r="J11" s="173">
        <f t="shared" si="12"/>
        <v>2500</v>
      </c>
      <c r="K11" s="173">
        <f t="shared" si="12"/>
        <v>2500</v>
      </c>
      <c r="L11" s="173">
        <f t="shared" si="12"/>
        <v>2500</v>
      </c>
      <c r="M11" s="173">
        <f t="shared" si="12"/>
        <v>2500</v>
      </c>
      <c r="N11" s="173">
        <f t="shared" si="12"/>
        <v>2500</v>
      </c>
      <c r="O11" s="173">
        <f t="shared" si="12"/>
        <v>2500</v>
      </c>
      <c r="P11" s="100">
        <f>SUM(D11:O11)</f>
        <v>22500</v>
      </c>
      <c r="Q11" s="530">
        <v>2800</v>
      </c>
      <c r="R11" s="173">
        <f>$Q$11</f>
        <v>2800</v>
      </c>
      <c r="S11" s="173">
        <f>$Q$11</f>
        <v>2800</v>
      </c>
      <c r="T11" s="173">
        <f>$Q$11</f>
        <v>2800</v>
      </c>
      <c r="U11" s="173">
        <f>$Q$11</f>
        <v>2800</v>
      </c>
      <c r="V11" s="173">
        <f>$Q$11</f>
        <v>2800</v>
      </c>
      <c r="W11" s="98">
        <f t="shared" ref="W11:AC11" si="13">$Q$11*2</f>
        <v>5600</v>
      </c>
      <c r="X11" s="324">
        <f t="shared" si="13"/>
        <v>5600</v>
      </c>
      <c r="Y11" s="324">
        <f t="shared" si="13"/>
        <v>5600</v>
      </c>
      <c r="Z11" s="324">
        <f t="shared" si="13"/>
        <v>5600</v>
      </c>
      <c r="AA11" s="324">
        <f t="shared" si="13"/>
        <v>5600</v>
      </c>
      <c r="AB11" s="324">
        <f t="shared" si="13"/>
        <v>5600</v>
      </c>
      <c r="AC11" s="324">
        <f t="shared" si="13"/>
        <v>5600</v>
      </c>
      <c r="AD11" s="100">
        <f t="shared" si="2"/>
        <v>53200</v>
      </c>
    </row>
    <row r="12" spans="1:30" ht="13.2">
      <c r="A12" s="318">
        <v>12</v>
      </c>
      <c r="B12" s="525" t="s">
        <v>186</v>
      </c>
      <c r="C12" s="528">
        <f>'Tableau simu'!B41</f>
        <v>2800</v>
      </c>
      <c r="D12" s="173"/>
      <c r="E12" s="173"/>
      <c r="F12" s="173"/>
      <c r="G12" s="173"/>
      <c r="H12" s="432">
        <f t="shared" ref="H12:O12" si="14">$C$12*2</f>
        <v>5600</v>
      </c>
      <c r="I12" s="173">
        <f t="shared" si="14"/>
        <v>5600</v>
      </c>
      <c r="J12" s="173">
        <f t="shared" si="14"/>
        <v>5600</v>
      </c>
      <c r="K12" s="173">
        <f t="shared" si="14"/>
        <v>5600</v>
      </c>
      <c r="L12" s="173">
        <f t="shared" si="14"/>
        <v>5600</v>
      </c>
      <c r="M12" s="173">
        <f t="shared" si="14"/>
        <v>5600</v>
      </c>
      <c r="N12" s="173">
        <f t="shared" si="14"/>
        <v>5600</v>
      </c>
      <c r="O12" s="173">
        <f t="shared" si="14"/>
        <v>5600</v>
      </c>
      <c r="P12" s="100">
        <f>SUM(D12:O12)</f>
        <v>44800</v>
      </c>
      <c r="Q12" s="530">
        <v>3000</v>
      </c>
      <c r="R12" s="173">
        <f>$Q$12*2</f>
        <v>6000</v>
      </c>
      <c r="S12" s="173">
        <f>$Q$12*2</f>
        <v>6000</v>
      </c>
      <c r="T12" s="173">
        <f>$Q$12*2</f>
        <v>6000</v>
      </c>
      <c r="U12" s="173">
        <f>$Q$12*2</f>
        <v>6000</v>
      </c>
      <c r="V12" s="98">
        <f t="shared" ref="V12:AC12" si="15">$Q$12*3</f>
        <v>9000</v>
      </c>
      <c r="W12" s="324">
        <f t="shared" si="15"/>
        <v>9000</v>
      </c>
      <c r="X12" s="324">
        <f t="shared" si="15"/>
        <v>9000</v>
      </c>
      <c r="Y12" s="324">
        <f t="shared" si="15"/>
        <v>9000</v>
      </c>
      <c r="Z12" s="324">
        <f t="shared" si="15"/>
        <v>9000</v>
      </c>
      <c r="AA12" s="324">
        <f t="shared" si="15"/>
        <v>9000</v>
      </c>
      <c r="AB12" s="324">
        <f t="shared" si="15"/>
        <v>9000</v>
      </c>
      <c r="AC12" s="324">
        <f t="shared" si="15"/>
        <v>9000</v>
      </c>
      <c r="AD12" s="100">
        <f t="shared" si="2"/>
        <v>96000</v>
      </c>
    </row>
    <row r="13" spans="1:30" ht="13.2">
      <c r="A13" s="318">
        <v>13</v>
      </c>
      <c r="B13" s="525" t="s">
        <v>187</v>
      </c>
      <c r="C13" s="528">
        <f>'Tableau simu'!B42</f>
        <v>1500</v>
      </c>
      <c r="D13" s="173"/>
      <c r="E13" s="173"/>
      <c r="F13" s="173"/>
      <c r="G13" s="173"/>
      <c r="H13" s="432">
        <f>$C$13</f>
        <v>1500</v>
      </c>
      <c r="I13" s="173">
        <f>$C$13</f>
        <v>1500</v>
      </c>
      <c r="J13" s="432">
        <f t="shared" ref="J13:O13" si="16">$C$13*2</f>
        <v>3000</v>
      </c>
      <c r="K13" s="173">
        <f t="shared" si="16"/>
        <v>3000</v>
      </c>
      <c r="L13" s="173">
        <f t="shared" si="16"/>
        <v>3000</v>
      </c>
      <c r="M13" s="173">
        <f t="shared" si="16"/>
        <v>3000</v>
      </c>
      <c r="N13" s="173">
        <f t="shared" si="16"/>
        <v>3000</v>
      </c>
      <c r="O13" s="173">
        <f t="shared" si="16"/>
        <v>3000</v>
      </c>
      <c r="P13" s="100">
        <f>SUM(D13:O13)</f>
        <v>21000</v>
      </c>
      <c r="Q13" s="530">
        <v>2000</v>
      </c>
      <c r="R13" s="173">
        <f>$Q$13*2</f>
        <v>4000</v>
      </c>
      <c r="S13" s="173">
        <f>$Q$13*2</f>
        <v>4000</v>
      </c>
      <c r="T13" s="173">
        <f>$Q$13*2</f>
        <v>4000</v>
      </c>
      <c r="U13" s="173">
        <f>$Q$13*2</f>
        <v>4000</v>
      </c>
      <c r="V13" s="173">
        <f>$Q$13*2</f>
        <v>4000</v>
      </c>
      <c r="W13" s="98">
        <f t="shared" ref="W13:AC13" si="17">$Q$13*3</f>
        <v>6000</v>
      </c>
      <c r="X13" s="324">
        <f t="shared" si="17"/>
        <v>6000</v>
      </c>
      <c r="Y13" s="324">
        <f t="shared" si="17"/>
        <v>6000</v>
      </c>
      <c r="Z13" s="324">
        <f t="shared" si="17"/>
        <v>6000</v>
      </c>
      <c r="AA13" s="324">
        <f t="shared" si="17"/>
        <v>6000</v>
      </c>
      <c r="AB13" s="324">
        <f t="shared" si="17"/>
        <v>6000</v>
      </c>
      <c r="AC13" s="324">
        <f t="shared" si="17"/>
        <v>6000</v>
      </c>
      <c r="AD13" s="100">
        <f t="shared" si="2"/>
        <v>62000</v>
      </c>
    </row>
    <row r="14" spans="1:30" ht="13.2">
      <c r="A14" s="318">
        <v>14</v>
      </c>
      <c r="B14" s="526" t="s">
        <v>71</v>
      </c>
      <c r="C14" s="529">
        <v>0</v>
      </c>
      <c r="D14" s="173"/>
      <c r="E14" s="173"/>
      <c r="F14" s="173"/>
      <c r="G14" s="173"/>
      <c r="H14" s="408">
        <f t="shared" ref="H14:O14" si="18">$C$14</f>
        <v>0</v>
      </c>
      <c r="I14" s="408">
        <f t="shared" si="18"/>
        <v>0</v>
      </c>
      <c r="J14" s="408">
        <f t="shared" si="18"/>
        <v>0</v>
      </c>
      <c r="K14" s="408">
        <f t="shared" si="18"/>
        <v>0</v>
      </c>
      <c r="L14" s="408">
        <f t="shared" si="18"/>
        <v>0</v>
      </c>
      <c r="M14" s="408">
        <f t="shared" si="18"/>
        <v>0</v>
      </c>
      <c r="N14" s="408">
        <f t="shared" si="18"/>
        <v>0</v>
      </c>
      <c r="O14" s="408">
        <f t="shared" si="18"/>
        <v>0</v>
      </c>
      <c r="P14" s="284">
        <f>SUM(D14:O14)</f>
        <v>0</v>
      </c>
      <c r="Q14" s="58">
        <f>'Tableau simu'!C43</f>
        <v>0</v>
      </c>
      <c r="R14" s="173">
        <f t="shared" ref="R14:AC14" si="19">$Q14</f>
        <v>0</v>
      </c>
      <c r="S14" s="173">
        <f t="shared" si="19"/>
        <v>0</v>
      </c>
      <c r="T14" s="173">
        <f t="shared" si="19"/>
        <v>0</v>
      </c>
      <c r="U14" s="173">
        <f t="shared" si="19"/>
        <v>0</v>
      </c>
      <c r="V14" s="173">
        <f t="shared" si="19"/>
        <v>0</v>
      </c>
      <c r="W14" s="173">
        <f t="shared" si="19"/>
        <v>0</v>
      </c>
      <c r="X14" s="173">
        <f t="shared" si="19"/>
        <v>0</v>
      </c>
      <c r="Y14" s="173">
        <f t="shared" si="19"/>
        <v>0</v>
      </c>
      <c r="Z14" s="173">
        <f t="shared" si="19"/>
        <v>0</v>
      </c>
      <c r="AA14" s="173">
        <f t="shared" si="19"/>
        <v>0</v>
      </c>
      <c r="AB14" s="173">
        <f t="shared" si="19"/>
        <v>0</v>
      </c>
      <c r="AC14" s="173">
        <f t="shared" si="19"/>
        <v>0</v>
      </c>
      <c r="AD14" s="100">
        <f t="shared" si="2"/>
        <v>0</v>
      </c>
    </row>
    <row r="15" spans="1:30" ht="13.5" customHeight="1">
      <c r="A15" s="318">
        <v>15</v>
      </c>
      <c r="B15" s="314" t="s">
        <v>188</v>
      </c>
      <c r="C15" s="341"/>
      <c r="D15" s="163">
        <f t="shared" ref="D15:P15" si="20">SUM(D5:D14)</f>
        <v>13200</v>
      </c>
      <c r="E15" s="163">
        <f t="shared" si="20"/>
        <v>13200</v>
      </c>
      <c r="F15" s="163">
        <f t="shared" si="20"/>
        <v>13200</v>
      </c>
      <c r="G15" s="163">
        <f t="shared" si="20"/>
        <v>15700</v>
      </c>
      <c r="H15" s="163">
        <f t="shared" si="20"/>
        <v>22800</v>
      </c>
      <c r="I15" s="163">
        <f t="shared" si="20"/>
        <v>22800</v>
      </c>
      <c r="J15" s="163">
        <f t="shared" si="20"/>
        <v>24300</v>
      </c>
      <c r="K15" s="163">
        <f t="shared" si="20"/>
        <v>24300</v>
      </c>
      <c r="L15" s="163">
        <f t="shared" si="20"/>
        <v>24300</v>
      </c>
      <c r="M15" s="163">
        <f t="shared" si="20"/>
        <v>24300</v>
      </c>
      <c r="N15" s="163">
        <f t="shared" si="20"/>
        <v>24300</v>
      </c>
      <c r="O15" s="163">
        <f t="shared" si="20"/>
        <v>24300</v>
      </c>
      <c r="P15" s="246">
        <f t="shared" si="20"/>
        <v>246700</v>
      </c>
      <c r="Q15" s="341"/>
      <c r="R15" s="163">
        <f t="shared" ref="R15:AD15" si="21">SUM(R5:R14)</f>
        <v>31100</v>
      </c>
      <c r="S15" s="163">
        <f t="shared" si="21"/>
        <v>34600</v>
      </c>
      <c r="T15" s="163">
        <f t="shared" si="21"/>
        <v>34600</v>
      </c>
      <c r="U15" s="163">
        <f t="shared" si="21"/>
        <v>34600</v>
      </c>
      <c r="V15" s="163">
        <f t="shared" si="21"/>
        <v>37600</v>
      </c>
      <c r="W15" s="163">
        <f t="shared" si="21"/>
        <v>42400</v>
      </c>
      <c r="X15" s="163">
        <f t="shared" si="21"/>
        <v>42400</v>
      </c>
      <c r="Y15" s="163">
        <f t="shared" si="21"/>
        <v>42400</v>
      </c>
      <c r="Z15" s="163">
        <f t="shared" si="21"/>
        <v>42400</v>
      </c>
      <c r="AA15" s="163">
        <f t="shared" si="21"/>
        <v>42400</v>
      </c>
      <c r="AB15" s="163">
        <f t="shared" si="21"/>
        <v>42400</v>
      </c>
      <c r="AC15" s="163">
        <f t="shared" si="21"/>
        <v>42400</v>
      </c>
      <c r="AD15" s="377">
        <f t="shared" si="21"/>
        <v>469300</v>
      </c>
    </row>
    <row r="16" spans="1:30" ht="13.2">
      <c r="A16" s="276" t="s">
        <v>189</v>
      </c>
      <c r="B16" s="402"/>
      <c r="C16" s="402"/>
      <c r="D16" s="402"/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</row>
    <row r="17" spans="1:30" ht="13.2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</row>
    <row r="18" spans="1:30" ht="13.2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</row>
    <row r="19" spans="1:30" ht="13.2">
      <c r="A19" s="168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</row>
    <row r="20" spans="1:30" ht="13.2">
      <c r="A20" s="168"/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</row>
  </sheetData>
  <mergeCells count="2">
    <mergeCell ref="C2:P2"/>
    <mergeCell ref="Q2:A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7"/>
  <sheetViews>
    <sheetView workbookViewId="0">
      <selection activeCell="B3" sqref="B3"/>
    </sheetView>
  </sheetViews>
  <sheetFormatPr baseColWidth="10" defaultColWidth="10.6640625" defaultRowHeight="12.75" customHeight="1"/>
  <cols>
    <col min="1" max="1" width="3" customWidth="1"/>
    <col min="2" max="2" width="32" customWidth="1"/>
    <col min="3" max="3" width="5.33203125" customWidth="1"/>
    <col min="4" max="4" width="5" customWidth="1"/>
    <col min="5" max="5" width="5.44140625" customWidth="1"/>
    <col min="6" max="6" width="5.33203125" customWidth="1"/>
    <col min="7" max="7" width="4.109375" customWidth="1"/>
    <col min="8" max="8" width="7.44140625" customWidth="1"/>
    <col min="9" max="9" width="5.109375" customWidth="1"/>
    <col min="10" max="10" width="4.109375" customWidth="1"/>
    <col min="11" max="11" width="5.44140625" style="168" customWidth="1"/>
    <col min="12" max="12" width="7.44140625" style="168" customWidth="1"/>
    <col min="13" max="13" width="5.109375" style="168" customWidth="1"/>
    <col min="14" max="14" width="4.6640625" style="168" customWidth="1"/>
    <col min="15" max="15" width="5.44140625" style="168" customWidth="1"/>
    <col min="16" max="16" width="10.33203125" customWidth="1"/>
    <col min="17" max="17" width="4.109375" customWidth="1"/>
    <col min="18" max="18" width="7.44140625" customWidth="1"/>
    <col min="19" max="19" width="5.109375" customWidth="1"/>
    <col min="20" max="20" width="4.109375" customWidth="1"/>
    <col min="21" max="21" width="5.44140625" customWidth="1"/>
    <col min="22" max="22" width="7.44140625" customWidth="1"/>
  </cols>
  <sheetData>
    <row r="1" spans="1:23" ht="13.2">
      <c r="A1" s="31">
        <v>1</v>
      </c>
      <c r="B1" s="218" t="s">
        <v>152</v>
      </c>
      <c r="C1" s="218" t="s">
        <v>153</v>
      </c>
      <c r="D1" s="218" t="s">
        <v>93</v>
      </c>
      <c r="E1" s="218" t="s">
        <v>154</v>
      </c>
      <c r="F1" s="218" t="s">
        <v>87</v>
      </c>
      <c r="G1" s="218" t="s">
        <v>155</v>
      </c>
      <c r="H1" s="218" t="s">
        <v>156</v>
      </c>
      <c r="I1" s="218" t="s">
        <v>157</v>
      </c>
      <c r="J1" s="218" t="s">
        <v>86</v>
      </c>
      <c r="K1" s="218" t="s">
        <v>158</v>
      </c>
      <c r="L1" s="218" t="s">
        <v>190</v>
      </c>
      <c r="M1" s="218" t="s">
        <v>88</v>
      </c>
      <c r="N1" s="218" t="s">
        <v>92</v>
      </c>
      <c r="O1" s="218" t="s">
        <v>91</v>
      </c>
      <c r="P1" s="218" t="s">
        <v>159</v>
      </c>
      <c r="Q1" s="218" t="s">
        <v>160</v>
      </c>
      <c r="R1" s="218" t="s">
        <v>161</v>
      </c>
      <c r="S1" s="218" t="s">
        <v>90</v>
      </c>
      <c r="T1" s="218" t="s">
        <v>162</v>
      </c>
      <c r="U1" s="218" t="s">
        <v>163</v>
      </c>
      <c r="V1" s="218" t="s">
        <v>164</v>
      </c>
      <c r="W1" s="168"/>
    </row>
    <row r="2" spans="1:23" ht="13.2">
      <c r="A2" s="430">
        <v>2</v>
      </c>
      <c r="B2" s="244"/>
      <c r="C2" s="467" t="s">
        <v>191</v>
      </c>
      <c r="D2" s="467"/>
      <c r="E2" s="467"/>
      <c r="F2" s="467"/>
      <c r="G2" s="467"/>
      <c r="H2" s="467"/>
      <c r="I2" s="467"/>
      <c r="J2" s="467"/>
      <c r="K2" s="467"/>
      <c r="L2" s="25"/>
      <c r="M2" s="467" t="s">
        <v>192</v>
      </c>
      <c r="N2" s="467"/>
      <c r="O2" s="467"/>
      <c r="P2" s="467"/>
      <c r="Q2" s="467"/>
      <c r="R2" s="467"/>
      <c r="S2" s="467"/>
      <c r="T2" s="467"/>
      <c r="U2" s="467"/>
      <c r="V2" s="25"/>
      <c r="W2" s="89"/>
    </row>
    <row r="3" spans="1:23" ht="38.25" customHeight="1">
      <c r="A3" s="430">
        <v>3</v>
      </c>
      <c r="B3" s="535" t="s">
        <v>193</v>
      </c>
      <c r="C3" s="533" t="s">
        <v>194</v>
      </c>
      <c r="D3" s="533"/>
      <c r="E3" s="533"/>
      <c r="F3" s="534" t="s">
        <v>195</v>
      </c>
      <c r="G3" s="534"/>
      <c r="H3" s="534"/>
      <c r="I3" s="534" t="s">
        <v>196</v>
      </c>
      <c r="J3" s="534"/>
      <c r="K3" s="534"/>
      <c r="L3" s="347" t="s">
        <v>183</v>
      </c>
      <c r="M3" s="533" t="s">
        <v>194</v>
      </c>
      <c r="N3" s="533"/>
      <c r="O3" s="533"/>
      <c r="P3" s="534" t="s">
        <v>195</v>
      </c>
      <c r="Q3" s="534"/>
      <c r="R3" s="534"/>
      <c r="S3" s="534" t="s">
        <v>196</v>
      </c>
      <c r="T3" s="534"/>
      <c r="U3" s="534"/>
      <c r="V3" s="347" t="s">
        <v>183</v>
      </c>
      <c r="W3" s="89"/>
    </row>
    <row r="4" spans="1:23" ht="13.2">
      <c r="A4" s="430">
        <v>4</v>
      </c>
      <c r="B4" s="244"/>
      <c r="C4" s="173" t="s">
        <v>197</v>
      </c>
      <c r="D4" s="173" t="s">
        <v>198</v>
      </c>
      <c r="E4" s="173" t="s">
        <v>199</v>
      </c>
      <c r="F4" s="173" t="s">
        <v>197</v>
      </c>
      <c r="G4" s="173" t="s">
        <v>198</v>
      </c>
      <c r="H4" s="173" t="s">
        <v>199</v>
      </c>
      <c r="I4" s="173" t="s">
        <v>197</v>
      </c>
      <c r="J4" s="173" t="s">
        <v>198</v>
      </c>
      <c r="K4" s="173" t="s">
        <v>199</v>
      </c>
      <c r="L4" s="173" t="s">
        <v>183</v>
      </c>
      <c r="M4" s="173" t="s">
        <v>197</v>
      </c>
      <c r="N4" s="173" t="s">
        <v>198</v>
      </c>
      <c r="O4" s="173" t="s">
        <v>199</v>
      </c>
      <c r="P4" s="173" t="s">
        <v>197</v>
      </c>
      <c r="Q4" s="173" t="s">
        <v>198</v>
      </c>
      <c r="R4" s="173" t="s">
        <v>199</v>
      </c>
      <c r="S4" s="173" t="s">
        <v>197</v>
      </c>
      <c r="T4" s="173" t="s">
        <v>198</v>
      </c>
      <c r="U4" s="173" t="s">
        <v>199</v>
      </c>
      <c r="V4" s="173" t="s">
        <v>183</v>
      </c>
      <c r="W4" s="89"/>
    </row>
    <row r="5" spans="1:23" ht="13.2">
      <c r="A5" s="430">
        <v>5</v>
      </c>
      <c r="B5" s="174" t="s">
        <v>200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29"/>
      <c r="Q5" s="173"/>
      <c r="R5" s="173"/>
      <c r="S5" s="173"/>
      <c r="T5" s="173"/>
      <c r="U5" s="173"/>
      <c r="V5" s="173"/>
      <c r="W5" s="89"/>
    </row>
    <row r="6" spans="1:23" ht="13.2">
      <c r="A6" s="430">
        <v>6</v>
      </c>
      <c r="B6" s="531" t="s">
        <v>201</v>
      </c>
      <c r="C6" s="326"/>
      <c r="D6" s="326"/>
      <c r="E6" s="326"/>
      <c r="F6" s="247">
        <v>2500</v>
      </c>
      <c r="G6" s="247">
        <v>12</v>
      </c>
      <c r="H6" s="43">
        <f>(F6/3)</f>
        <v>833.33333333333337</v>
      </c>
      <c r="I6" s="247">
        <v>200</v>
      </c>
      <c r="J6" s="247">
        <v>12</v>
      </c>
      <c r="K6" s="326">
        <f>I6/5</f>
        <v>40</v>
      </c>
      <c r="L6" s="43">
        <f>H6+K6</f>
        <v>873.33333333333337</v>
      </c>
      <c r="M6" s="326"/>
      <c r="N6" s="326"/>
      <c r="O6" s="326"/>
      <c r="P6" s="151">
        <v>0</v>
      </c>
      <c r="Q6" s="247">
        <v>12</v>
      </c>
      <c r="R6" s="43">
        <f>F6/3</f>
        <v>833.33333333333337</v>
      </c>
      <c r="S6" s="326">
        <v>0</v>
      </c>
      <c r="T6" s="247">
        <v>12</v>
      </c>
      <c r="U6" s="326">
        <f>I6/5</f>
        <v>40</v>
      </c>
      <c r="V6" s="43">
        <f t="shared" ref="V6:V20" si="0">R6+U6</f>
        <v>873.33333333333337</v>
      </c>
      <c r="W6" s="89"/>
    </row>
    <row r="7" spans="1:23" ht="13.2">
      <c r="A7" s="430">
        <v>7</v>
      </c>
      <c r="B7" s="531" t="s">
        <v>202</v>
      </c>
      <c r="C7" s="326"/>
      <c r="D7" s="326"/>
      <c r="E7" s="326"/>
      <c r="F7" s="247">
        <v>2500</v>
      </c>
      <c r="G7" s="247">
        <v>12</v>
      </c>
      <c r="H7" s="43">
        <f>(F7/3)</f>
        <v>833.33333333333337</v>
      </c>
      <c r="I7" s="247">
        <v>200</v>
      </c>
      <c r="J7" s="247">
        <v>12</v>
      </c>
      <c r="K7" s="326">
        <f>I7/5</f>
        <v>40</v>
      </c>
      <c r="L7" s="43">
        <f>H7+K7</f>
        <v>873.33333333333337</v>
      </c>
      <c r="M7" s="326"/>
      <c r="N7" s="326"/>
      <c r="O7" s="326"/>
      <c r="P7" s="151">
        <v>0</v>
      </c>
      <c r="Q7" s="247">
        <v>12</v>
      </c>
      <c r="R7" s="43">
        <f>F7/3</f>
        <v>833.33333333333337</v>
      </c>
      <c r="S7" s="326">
        <v>0</v>
      </c>
      <c r="T7" s="247">
        <v>12</v>
      </c>
      <c r="U7" s="326">
        <f>I7/5</f>
        <v>40</v>
      </c>
      <c r="V7" s="43">
        <f t="shared" si="0"/>
        <v>873.33333333333337</v>
      </c>
      <c r="W7" s="89"/>
    </row>
    <row r="8" spans="1:23" ht="13.2">
      <c r="A8" s="430">
        <v>8</v>
      </c>
      <c r="B8" s="531" t="s">
        <v>203</v>
      </c>
      <c r="C8" s="326"/>
      <c r="D8" s="326"/>
      <c r="E8" s="326"/>
      <c r="F8" s="247">
        <v>5000</v>
      </c>
      <c r="G8" s="247">
        <v>12</v>
      </c>
      <c r="H8" s="43">
        <f>(F8/3)</f>
        <v>1666.6666666666667</v>
      </c>
      <c r="I8" s="247">
        <v>200</v>
      </c>
      <c r="J8" s="247">
        <v>12</v>
      </c>
      <c r="K8" s="326">
        <f>I8/5</f>
        <v>40</v>
      </c>
      <c r="L8" s="43">
        <f>H8+K8</f>
        <v>1706.6666666666667</v>
      </c>
      <c r="M8" s="326"/>
      <c r="N8" s="326"/>
      <c r="O8" s="326"/>
      <c r="P8" s="151">
        <v>0</v>
      </c>
      <c r="Q8" s="247">
        <v>12</v>
      </c>
      <c r="R8" s="43">
        <f>F8/3</f>
        <v>1666.6666666666667</v>
      </c>
      <c r="S8" s="326">
        <v>0</v>
      </c>
      <c r="T8" s="247">
        <v>12</v>
      </c>
      <c r="U8" s="326">
        <f>I8/5</f>
        <v>40</v>
      </c>
      <c r="V8" s="43">
        <f t="shared" si="0"/>
        <v>1706.6666666666667</v>
      </c>
      <c r="W8" s="89"/>
    </row>
    <row r="9" spans="1:23" ht="13.2">
      <c r="A9" s="430">
        <v>9</v>
      </c>
      <c r="B9" s="531" t="s">
        <v>204</v>
      </c>
      <c r="C9" s="326"/>
      <c r="D9" s="326"/>
      <c r="E9" s="326"/>
      <c r="F9" s="247">
        <v>2500</v>
      </c>
      <c r="G9" s="247">
        <v>12</v>
      </c>
      <c r="H9" s="43">
        <f>(F9/3)</f>
        <v>833.33333333333337</v>
      </c>
      <c r="I9" s="247">
        <v>150</v>
      </c>
      <c r="J9" s="247">
        <v>12</v>
      </c>
      <c r="K9" s="326">
        <f>I9/5</f>
        <v>30</v>
      </c>
      <c r="L9" s="43">
        <f>H9+K9</f>
        <v>863.33333333333337</v>
      </c>
      <c r="M9" s="326"/>
      <c r="N9" s="326"/>
      <c r="O9" s="326"/>
      <c r="P9" s="151">
        <v>0</v>
      </c>
      <c r="Q9" s="247">
        <v>12</v>
      </c>
      <c r="R9" s="43">
        <f>F9/3</f>
        <v>833.33333333333337</v>
      </c>
      <c r="S9" s="326">
        <v>0</v>
      </c>
      <c r="T9" s="247">
        <v>12</v>
      </c>
      <c r="U9" s="326">
        <f>I9/5</f>
        <v>30</v>
      </c>
      <c r="V9" s="43">
        <f t="shared" si="0"/>
        <v>863.33333333333337</v>
      </c>
      <c r="W9" s="89"/>
    </row>
    <row r="10" spans="1:23" ht="13.2">
      <c r="A10" s="430">
        <v>10</v>
      </c>
      <c r="B10" s="531" t="s">
        <v>66</v>
      </c>
      <c r="C10" s="326"/>
      <c r="D10" s="326"/>
      <c r="E10" s="326"/>
      <c r="F10" s="247"/>
      <c r="G10" s="247"/>
      <c r="H10" s="43"/>
      <c r="I10" s="247"/>
      <c r="J10" s="247"/>
      <c r="K10" s="326"/>
      <c r="L10" s="43"/>
      <c r="M10" s="326"/>
      <c r="N10" s="326"/>
      <c r="O10" s="326"/>
      <c r="P10" s="249">
        <f>F6</f>
        <v>2500</v>
      </c>
      <c r="Q10" s="247">
        <v>12</v>
      </c>
      <c r="R10" s="43">
        <f>P10/3</f>
        <v>833.33333333333337</v>
      </c>
      <c r="S10" s="247">
        <f>I7</f>
        <v>200</v>
      </c>
      <c r="T10" s="247">
        <v>12</v>
      </c>
      <c r="U10" s="326">
        <f>(S10/5)*(12/12)</f>
        <v>40</v>
      </c>
      <c r="V10" s="43">
        <f t="shared" si="0"/>
        <v>873.33333333333337</v>
      </c>
      <c r="W10" s="89"/>
    </row>
    <row r="11" spans="1:23" ht="13.2">
      <c r="A11" s="430">
        <v>11</v>
      </c>
      <c r="B11" s="531" t="s">
        <v>205</v>
      </c>
      <c r="C11" s="326"/>
      <c r="D11" s="326"/>
      <c r="E11" s="326"/>
      <c r="F11" s="247">
        <v>2500</v>
      </c>
      <c r="G11" s="247">
        <v>12</v>
      </c>
      <c r="H11" s="43">
        <f>(F11/3)</f>
        <v>833.33333333333337</v>
      </c>
      <c r="I11" s="247">
        <v>150</v>
      </c>
      <c r="J11" s="247">
        <v>12</v>
      </c>
      <c r="K11" s="326">
        <f>I11/5</f>
        <v>30</v>
      </c>
      <c r="L11" s="43">
        <f>H11+K11</f>
        <v>863.33333333333337</v>
      </c>
      <c r="M11" s="326"/>
      <c r="N11" s="326"/>
      <c r="O11" s="326"/>
      <c r="P11" s="151">
        <v>0</v>
      </c>
      <c r="Q11" s="247">
        <v>12</v>
      </c>
      <c r="R11" s="43">
        <f>F11/3</f>
        <v>833.33333333333337</v>
      </c>
      <c r="S11" s="247">
        <v>0</v>
      </c>
      <c r="T11" s="247">
        <v>12</v>
      </c>
      <c r="U11" s="326">
        <f>I11/5</f>
        <v>30</v>
      </c>
      <c r="V11" s="43">
        <f t="shared" si="0"/>
        <v>863.33333333333337</v>
      </c>
      <c r="W11" s="89"/>
    </row>
    <row r="12" spans="1:23" ht="13.2">
      <c r="A12" s="430">
        <v>12</v>
      </c>
      <c r="B12" s="531" t="s">
        <v>206</v>
      </c>
      <c r="C12" s="326"/>
      <c r="D12" s="326"/>
      <c r="E12" s="326"/>
      <c r="F12" s="247"/>
      <c r="G12" s="247"/>
      <c r="H12" s="43"/>
      <c r="I12" s="247"/>
      <c r="J12" s="247"/>
      <c r="K12" s="326"/>
      <c r="L12" s="43"/>
      <c r="M12" s="326"/>
      <c r="N12" s="326"/>
      <c r="O12" s="326"/>
      <c r="P12" s="249">
        <v>2500</v>
      </c>
      <c r="Q12" s="247">
        <v>11</v>
      </c>
      <c r="R12" s="43">
        <f>((P12/3)*Q12)/12</f>
        <v>763.88888888888903</v>
      </c>
      <c r="S12" s="247">
        <f>I11</f>
        <v>150</v>
      </c>
      <c r="T12" s="247">
        <v>11</v>
      </c>
      <c r="U12" s="326">
        <f>(S12/5)*(T12/12)</f>
        <v>27.5</v>
      </c>
      <c r="V12" s="43">
        <f t="shared" si="0"/>
        <v>791.38888888888903</v>
      </c>
      <c r="W12" s="89"/>
    </row>
    <row r="13" spans="1:23" ht="13.2">
      <c r="A13" s="430">
        <v>13</v>
      </c>
      <c r="B13" s="531" t="s">
        <v>207</v>
      </c>
      <c r="C13" s="326"/>
      <c r="D13" s="326"/>
      <c r="E13" s="326"/>
      <c r="F13" s="247">
        <v>5000</v>
      </c>
      <c r="G13" s="247">
        <v>9</v>
      </c>
      <c r="H13" s="43">
        <f>((F13/3)*G13)/12</f>
        <v>1250</v>
      </c>
      <c r="I13" s="247">
        <v>150</v>
      </c>
      <c r="J13" s="247">
        <v>9</v>
      </c>
      <c r="K13" s="326">
        <f>((I13/5)*9)/12</f>
        <v>22.5</v>
      </c>
      <c r="L13" s="43">
        <f>H13+K13</f>
        <v>1272.5</v>
      </c>
      <c r="M13" s="326"/>
      <c r="N13" s="326"/>
      <c r="O13" s="326"/>
      <c r="P13" s="151">
        <v>0</v>
      </c>
      <c r="Q13" s="247">
        <v>12</v>
      </c>
      <c r="R13" s="43">
        <f>F13/3</f>
        <v>1666.6666666666667</v>
      </c>
      <c r="S13" s="247">
        <v>0</v>
      </c>
      <c r="T13" s="247">
        <v>12</v>
      </c>
      <c r="U13" s="326">
        <f>I13/5</f>
        <v>30</v>
      </c>
      <c r="V13" s="43">
        <f t="shared" si="0"/>
        <v>1696.6666666666667</v>
      </c>
      <c r="W13" s="89"/>
    </row>
    <row r="14" spans="1:23" ht="13.2">
      <c r="A14" s="430">
        <v>14</v>
      </c>
      <c r="B14" s="531" t="s">
        <v>208</v>
      </c>
      <c r="C14" s="326"/>
      <c r="D14" s="326"/>
      <c r="E14" s="326"/>
      <c r="F14" s="247"/>
      <c r="G14" s="247"/>
      <c r="H14" s="43"/>
      <c r="I14" s="247"/>
      <c r="J14" s="247"/>
      <c r="K14" s="326"/>
      <c r="L14" s="43"/>
      <c r="M14" s="326"/>
      <c r="N14" s="326"/>
      <c r="O14" s="326"/>
      <c r="P14" s="249">
        <f>F13</f>
        <v>5000</v>
      </c>
      <c r="Q14" s="247">
        <v>7</v>
      </c>
      <c r="R14" s="43">
        <f>(P14/3)*(Q14/12)</f>
        <v>972.22222222222229</v>
      </c>
      <c r="S14" s="247">
        <f>I13</f>
        <v>150</v>
      </c>
      <c r="T14" s="247">
        <v>7</v>
      </c>
      <c r="U14" s="326">
        <f>(S14/5)*(T14/12)</f>
        <v>17.5</v>
      </c>
      <c r="V14" s="43">
        <f t="shared" si="0"/>
        <v>989.72222222222229</v>
      </c>
      <c r="W14" s="89"/>
    </row>
    <row r="15" spans="1:23" ht="13.2">
      <c r="A15" s="430">
        <v>15</v>
      </c>
      <c r="B15" s="531" t="s">
        <v>209</v>
      </c>
      <c r="C15" s="326"/>
      <c r="D15" s="326"/>
      <c r="E15" s="326"/>
      <c r="F15" s="247">
        <v>5000</v>
      </c>
      <c r="G15" s="247">
        <v>8</v>
      </c>
      <c r="H15" s="43">
        <f>((F15/3)*G15)/12</f>
        <v>1111.1111111111111</v>
      </c>
      <c r="I15" s="247">
        <v>150</v>
      </c>
      <c r="J15" s="247">
        <v>8</v>
      </c>
      <c r="K15" s="326">
        <f>((I15/5)*8)/12</f>
        <v>20</v>
      </c>
      <c r="L15" s="43">
        <f>H15+K15</f>
        <v>1131.1111111111111</v>
      </c>
      <c r="M15" s="326"/>
      <c r="N15" s="326"/>
      <c r="O15" s="326"/>
      <c r="P15" s="151">
        <v>0</v>
      </c>
      <c r="Q15" s="247">
        <v>12</v>
      </c>
      <c r="R15" s="43">
        <f>F15/3</f>
        <v>1666.6666666666667</v>
      </c>
      <c r="S15" s="247">
        <v>0</v>
      </c>
      <c r="T15" s="247">
        <v>12</v>
      </c>
      <c r="U15" s="326">
        <f>I15/5</f>
        <v>30</v>
      </c>
      <c r="V15" s="43">
        <f t="shared" si="0"/>
        <v>1696.6666666666667</v>
      </c>
      <c r="W15" s="89"/>
    </row>
    <row r="16" spans="1:23" ht="13.2">
      <c r="A16" s="430">
        <v>16</v>
      </c>
      <c r="B16" s="531" t="s">
        <v>210</v>
      </c>
      <c r="C16" s="326"/>
      <c r="D16" s="326"/>
      <c r="E16" s="326"/>
      <c r="F16" s="247">
        <v>5000</v>
      </c>
      <c r="G16" s="247">
        <v>8</v>
      </c>
      <c r="H16" s="43">
        <f>((F16/3)*G16)/12</f>
        <v>1111.1111111111111</v>
      </c>
      <c r="I16" s="247">
        <v>150</v>
      </c>
      <c r="J16" s="247">
        <v>8</v>
      </c>
      <c r="K16" s="326">
        <f>((I16/5)*8)/12</f>
        <v>20</v>
      </c>
      <c r="L16" s="43">
        <f>H16+K16</f>
        <v>1131.1111111111111</v>
      </c>
      <c r="M16" s="326"/>
      <c r="N16" s="326"/>
      <c r="O16" s="326"/>
      <c r="P16" s="151">
        <v>0</v>
      </c>
      <c r="Q16" s="247">
        <v>12</v>
      </c>
      <c r="R16" s="43">
        <f>F16/3</f>
        <v>1666.6666666666667</v>
      </c>
      <c r="S16" s="247">
        <v>0</v>
      </c>
      <c r="T16" s="247">
        <v>12</v>
      </c>
      <c r="U16" s="326">
        <f>I16/5</f>
        <v>30</v>
      </c>
      <c r="V16" s="43">
        <f t="shared" si="0"/>
        <v>1696.6666666666667</v>
      </c>
      <c r="W16" s="89"/>
    </row>
    <row r="17" spans="1:23" ht="13.2">
      <c r="A17" s="430">
        <v>17</v>
      </c>
      <c r="B17" s="531" t="s">
        <v>211</v>
      </c>
      <c r="C17" s="326"/>
      <c r="D17" s="326"/>
      <c r="E17" s="326"/>
      <c r="F17" s="247"/>
      <c r="G17" s="247"/>
      <c r="H17" s="43"/>
      <c r="I17" s="247"/>
      <c r="J17" s="247"/>
      <c r="K17" s="326"/>
      <c r="L17" s="43"/>
      <c r="M17" s="326"/>
      <c r="N17" s="326"/>
      <c r="O17" s="326"/>
      <c r="P17" s="249">
        <f>F16</f>
        <v>5000</v>
      </c>
      <c r="Q17" s="247">
        <v>8</v>
      </c>
      <c r="R17" s="43">
        <f>(P17/3)*(Q17/12)</f>
        <v>1111.1111111111111</v>
      </c>
      <c r="S17" s="247">
        <f>I16</f>
        <v>150</v>
      </c>
      <c r="T17" s="247">
        <v>8</v>
      </c>
      <c r="U17" s="326">
        <f>(S17/5)*(T17/12)</f>
        <v>20</v>
      </c>
      <c r="V17" s="43">
        <f t="shared" si="0"/>
        <v>1131.1111111111111</v>
      </c>
      <c r="W17" s="89"/>
    </row>
    <row r="18" spans="1:23" ht="13.2">
      <c r="A18" s="430">
        <v>18</v>
      </c>
      <c r="B18" s="531" t="s">
        <v>212</v>
      </c>
      <c r="C18" s="326"/>
      <c r="D18" s="326"/>
      <c r="E18" s="326"/>
      <c r="F18" s="247">
        <v>5000</v>
      </c>
      <c r="G18" s="247">
        <v>8</v>
      </c>
      <c r="H18" s="43">
        <f>((F18/3)*G18)/12</f>
        <v>1111.1111111111111</v>
      </c>
      <c r="I18" s="247">
        <v>150</v>
      </c>
      <c r="J18" s="247">
        <v>8</v>
      </c>
      <c r="K18" s="326">
        <f>((I18/5)*8)/12</f>
        <v>20</v>
      </c>
      <c r="L18" s="43">
        <f>H18+K18</f>
        <v>1131.1111111111111</v>
      </c>
      <c r="M18" s="326"/>
      <c r="N18" s="326"/>
      <c r="O18" s="326"/>
      <c r="P18" s="151">
        <v>0</v>
      </c>
      <c r="Q18" s="247">
        <v>12</v>
      </c>
      <c r="R18" s="43">
        <f>F18/3</f>
        <v>1666.6666666666667</v>
      </c>
      <c r="S18" s="247">
        <v>0</v>
      </c>
      <c r="T18" s="247">
        <v>12</v>
      </c>
      <c r="U18" s="326">
        <f>(I18/5)*(T18/12)</f>
        <v>30</v>
      </c>
      <c r="V18" s="43">
        <f t="shared" si="0"/>
        <v>1696.6666666666667</v>
      </c>
      <c r="W18" s="89"/>
    </row>
    <row r="19" spans="1:23" ht="13.2">
      <c r="A19" s="430">
        <v>19</v>
      </c>
      <c r="B19" s="531" t="s">
        <v>213</v>
      </c>
      <c r="C19" s="326"/>
      <c r="D19" s="326"/>
      <c r="E19" s="326"/>
      <c r="F19" s="247">
        <v>5000</v>
      </c>
      <c r="G19" s="247">
        <v>6</v>
      </c>
      <c r="H19" s="43">
        <f>((F19/3)*G19)/12</f>
        <v>833.33333333333337</v>
      </c>
      <c r="I19" s="247">
        <v>150</v>
      </c>
      <c r="J19" s="247">
        <v>6</v>
      </c>
      <c r="K19" s="326">
        <f>((I19/5)*6)/12</f>
        <v>15</v>
      </c>
      <c r="L19" s="43">
        <f>H19+K19</f>
        <v>848.33333333333337</v>
      </c>
      <c r="M19" s="326"/>
      <c r="N19" s="326"/>
      <c r="O19" s="326"/>
      <c r="P19" s="151">
        <v>0</v>
      </c>
      <c r="Q19" s="247">
        <v>12</v>
      </c>
      <c r="R19" s="43">
        <f>F19/3</f>
        <v>1666.6666666666667</v>
      </c>
      <c r="S19" s="247">
        <v>0</v>
      </c>
      <c r="T19" s="247">
        <v>12</v>
      </c>
      <c r="U19" s="326">
        <f>(I19/5)*(T19/12)</f>
        <v>30</v>
      </c>
      <c r="V19" s="43">
        <f t="shared" si="0"/>
        <v>1696.6666666666667</v>
      </c>
      <c r="W19" s="89"/>
    </row>
    <row r="20" spans="1:23" ht="13.2">
      <c r="A20" s="430">
        <v>20</v>
      </c>
      <c r="B20" s="531" t="s">
        <v>214</v>
      </c>
      <c r="C20" s="326"/>
      <c r="D20" s="326"/>
      <c r="E20" s="326"/>
      <c r="F20" s="247"/>
      <c r="G20" s="247"/>
      <c r="H20" s="43"/>
      <c r="I20" s="247"/>
      <c r="J20" s="247"/>
      <c r="K20" s="326"/>
      <c r="L20" s="43"/>
      <c r="M20" s="326"/>
      <c r="N20" s="326"/>
      <c r="O20" s="326"/>
      <c r="P20" s="249">
        <f>F19</f>
        <v>5000</v>
      </c>
      <c r="Q20" s="247">
        <v>7</v>
      </c>
      <c r="R20" s="43">
        <f>(P20/3)*(Q20/12)</f>
        <v>972.22222222222229</v>
      </c>
      <c r="S20" s="247">
        <f>I19</f>
        <v>150</v>
      </c>
      <c r="T20" s="247">
        <v>7</v>
      </c>
      <c r="U20" s="326">
        <f>(S20/5)*(T20/12)</f>
        <v>17.5</v>
      </c>
      <c r="V20" s="43">
        <f t="shared" si="0"/>
        <v>989.72222222222229</v>
      </c>
      <c r="W20" s="89"/>
    </row>
    <row r="21" spans="1:23" ht="13.2">
      <c r="A21" s="430">
        <v>21</v>
      </c>
      <c r="B21" s="531" t="s">
        <v>71</v>
      </c>
      <c r="C21" s="326"/>
      <c r="D21" s="326"/>
      <c r="E21" s="326"/>
      <c r="F21" s="133">
        <v>5000</v>
      </c>
      <c r="G21" s="133">
        <v>0</v>
      </c>
      <c r="H21" s="415">
        <f>((F21/3)*G21)/12</f>
        <v>0</v>
      </c>
      <c r="I21" s="133">
        <v>150</v>
      </c>
      <c r="J21" s="133">
        <v>0</v>
      </c>
      <c r="K21" s="322">
        <v>0</v>
      </c>
      <c r="L21" s="415">
        <f>H21+K21</f>
        <v>0</v>
      </c>
      <c r="M21" s="326"/>
      <c r="N21" s="326"/>
      <c r="O21" s="326"/>
      <c r="P21" s="249">
        <f>F21</f>
        <v>5000</v>
      </c>
      <c r="Q21" s="247">
        <v>0</v>
      </c>
      <c r="R21" s="43">
        <v>0</v>
      </c>
      <c r="S21" s="247">
        <f>I21</f>
        <v>150</v>
      </c>
      <c r="T21" s="247">
        <v>0</v>
      </c>
      <c r="U21" s="326">
        <v>0</v>
      </c>
      <c r="V21" s="43">
        <v>0</v>
      </c>
      <c r="W21" s="89"/>
    </row>
    <row r="22" spans="1:23" ht="13.2">
      <c r="A22" s="430">
        <v>22</v>
      </c>
      <c r="B22" s="531" t="s">
        <v>215</v>
      </c>
      <c r="C22" s="247">
        <v>2000</v>
      </c>
      <c r="D22" s="247">
        <v>12</v>
      </c>
      <c r="E22" s="326">
        <f>C22/5</f>
        <v>400</v>
      </c>
      <c r="F22" s="247">
        <v>5000</v>
      </c>
      <c r="G22" s="247">
        <v>12</v>
      </c>
      <c r="H22" s="43">
        <f>((F22/3)*G22)/12</f>
        <v>1666.6666666666667</v>
      </c>
      <c r="I22" s="247">
        <v>300</v>
      </c>
      <c r="J22" s="247">
        <v>12</v>
      </c>
      <c r="K22" s="326">
        <f>I22/5</f>
        <v>60</v>
      </c>
      <c r="L22" s="43">
        <f>(E22+H22)+K22</f>
        <v>2126.666666666667</v>
      </c>
      <c r="M22" s="247"/>
      <c r="N22" s="247">
        <v>0</v>
      </c>
      <c r="O22" s="326">
        <v>400</v>
      </c>
      <c r="P22" s="151">
        <v>0</v>
      </c>
      <c r="Q22" s="247">
        <v>12</v>
      </c>
      <c r="R22" s="43">
        <f>(F22/3)*(Q22/12)</f>
        <v>1666.6666666666667</v>
      </c>
      <c r="S22" s="247">
        <v>0</v>
      </c>
      <c r="T22" s="247">
        <v>12</v>
      </c>
      <c r="U22" s="326">
        <f>I22/5</f>
        <v>60</v>
      </c>
      <c r="V22" s="43">
        <f>(O22+R22)+U22</f>
        <v>2126.666666666667</v>
      </c>
      <c r="W22" s="89" t="s">
        <v>216</v>
      </c>
    </row>
    <row r="23" spans="1:23" ht="13.2">
      <c r="A23" s="430">
        <v>23</v>
      </c>
      <c r="B23" s="531" t="s">
        <v>217</v>
      </c>
      <c r="C23" s="247">
        <v>3000</v>
      </c>
      <c r="D23" s="247">
        <v>12</v>
      </c>
      <c r="E23" s="326">
        <f>C23/5</f>
        <v>600</v>
      </c>
      <c r="F23" s="326"/>
      <c r="G23" s="326"/>
      <c r="H23" s="326"/>
      <c r="I23" s="326"/>
      <c r="J23" s="326"/>
      <c r="K23" s="326"/>
      <c r="L23" s="43">
        <f>(E23+H23)+K23</f>
        <v>600</v>
      </c>
      <c r="M23" s="247"/>
      <c r="N23" s="247">
        <v>0</v>
      </c>
      <c r="O23" s="326">
        <v>600</v>
      </c>
      <c r="P23" s="151">
        <v>0</v>
      </c>
      <c r="Q23" s="326"/>
      <c r="R23" s="43"/>
      <c r="S23" s="326">
        <v>0</v>
      </c>
      <c r="T23" s="326"/>
      <c r="U23" s="326">
        <v>0</v>
      </c>
      <c r="V23" s="43">
        <f>(O23+R23)+U23</f>
        <v>600</v>
      </c>
      <c r="W23" s="89"/>
    </row>
    <row r="24" spans="1:23" ht="13.2">
      <c r="A24" s="430">
        <v>24</v>
      </c>
      <c r="B24" s="532" t="s">
        <v>218</v>
      </c>
      <c r="C24" s="326">
        <f>SUM(C22:C23)</f>
        <v>5000</v>
      </c>
      <c r="D24" s="326"/>
      <c r="E24" s="326"/>
      <c r="F24" s="326">
        <f>SUM(F6:F23)</f>
        <v>50000</v>
      </c>
      <c r="G24" s="326"/>
      <c r="H24" s="326"/>
      <c r="I24" s="326">
        <f>SUM(I6:I23)</f>
        <v>2100</v>
      </c>
      <c r="J24" s="326"/>
      <c r="K24" s="326"/>
      <c r="L24" s="43">
        <f>(C24+F24)+I24</f>
        <v>57100</v>
      </c>
      <c r="M24" s="326"/>
      <c r="N24" s="326"/>
      <c r="O24" s="326"/>
      <c r="P24" s="151">
        <f>SUM(P6:P23)</f>
        <v>25000</v>
      </c>
      <c r="Q24" s="326"/>
      <c r="R24" s="326"/>
      <c r="S24" s="326">
        <f>SUM(S6:S23)</f>
        <v>950</v>
      </c>
      <c r="T24" s="326"/>
      <c r="U24" s="326"/>
      <c r="V24" s="43">
        <f>(M24+P24)+S24</f>
        <v>25950</v>
      </c>
      <c r="W24" s="89"/>
    </row>
    <row r="25" spans="1:23" ht="13.2">
      <c r="A25" s="430">
        <v>25</v>
      </c>
      <c r="B25" s="532" t="s">
        <v>219</v>
      </c>
      <c r="C25" s="326"/>
      <c r="D25" s="326"/>
      <c r="E25" s="326">
        <f>SUM(E6:E23)</f>
        <v>1000</v>
      </c>
      <c r="F25" s="326"/>
      <c r="G25" s="326"/>
      <c r="H25" s="43">
        <f>SUM(H6:H23)</f>
        <v>12083.333333333334</v>
      </c>
      <c r="I25" s="326"/>
      <c r="J25" s="326"/>
      <c r="K25" s="326">
        <f>SUM(K6:K23)</f>
        <v>337.5</v>
      </c>
      <c r="L25" s="43">
        <f>(E25+H25)+K25</f>
        <v>13420.833333333334</v>
      </c>
      <c r="M25" s="326"/>
      <c r="N25" s="326"/>
      <c r="O25" s="326">
        <f>SUM(O22:O23)</f>
        <v>1000</v>
      </c>
      <c r="P25" s="151"/>
      <c r="Q25" s="326"/>
      <c r="R25" s="43">
        <f>SUM(R6:R22)</f>
        <v>19652.777777777777</v>
      </c>
      <c r="S25" s="326"/>
      <c r="T25" s="326"/>
      <c r="U25" s="326">
        <f>SUM(U6:U24)</f>
        <v>512.5</v>
      </c>
      <c r="V25" s="43">
        <f>(O25+R25)+U25</f>
        <v>21165.277777777777</v>
      </c>
      <c r="W25" s="89"/>
    </row>
    <row r="26" spans="1:23" ht="13.2">
      <c r="A26" s="430">
        <v>26</v>
      </c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89"/>
    </row>
    <row r="27" spans="1:23" ht="15.75" customHeight="1">
      <c r="A27" s="430">
        <v>27</v>
      </c>
      <c r="B27" s="326" t="s">
        <v>220</v>
      </c>
      <c r="C27" s="466">
        <f>(C24+F24)+I24</f>
        <v>57100</v>
      </c>
      <c r="D27" s="466"/>
      <c r="E27" s="466"/>
      <c r="F27" s="466"/>
      <c r="G27" s="466"/>
      <c r="H27" s="466"/>
      <c r="I27" s="466"/>
      <c r="J27" s="466"/>
      <c r="K27" s="466"/>
      <c r="L27" s="21"/>
      <c r="M27" s="466">
        <f>V24</f>
        <v>25950</v>
      </c>
      <c r="N27" s="466"/>
      <c r="O27" s="466"/>
      <c r="P27" s="466"/>
      <c r="Q27" s="466"/>
      <c r="R27" s="466"/>
      <c r="S27" s="466"/>
      <c r="T27" s="466"/>
      <c r="U27" s="466"/>
      <c r="V27" s="21"/>
      <c r="W27" s="89"/>
    </row>
    <row r="28" spans="1:23" ht="15.75" customHeight="1">
      <c r="A28" s="430">
        <v>28</v>
      </c>
      <c r="B28" s="326" t="s">
        <v>221</v>
      </c>
      <c r="C28" s="466">
        <f>(E25+H25)+K25</f>
        <v>13420.833333333334</v>
      </c>
      <c r="D28" s="466"/>
      <c r="E28" s="466"/>
      <c r="F28" s="466"/>
      <c r="G28" s="466"/>
      <c r="H28" s="466"/>
      <c r="I28" s="466"/>
      <c r="J28" s="466"/>
      <c r="K28" s="466"/>
      <c r="L28" s="21"/>
      <c r="M28" s="466">
        <f>V25</f>
        <v>21165.277777777777</v>
      </c>
      <c r="N28" s="466"/>
      <c r="O28" s="466"/>
      <c r="P28" s="466"/>
      <c r="Q28" s="466"/>
      <c r="R28" s="466"/>
      <c r="S28" s="466"/>
      <c r="T28" s="466"/>
      <c r="U28" s="466"/>
      <c r="V28" s="21"/>
      <c r="W28" s="89"/>
    </row>
    <row r="29" spans="1:23" ht="13.2">
      <c r="A29" s="430">
        <v>29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89"/>
    </row>
    <row r="30" spans="1:23" ht="13.2">
      <c r="A30" s="430">
        <v>30</v>
      </c>
      <c r="B30" s="174" t="s">
        <v>222</v>
      </c>
      <c r="C30" s="173" t="s">
        <v>223</v>
      </c>
      <c r="D30" s="173" t="s">
        <v>198</v>
      </c>
      <c r="E30" s="173" t="s">
        <v>224</v>
      </c>
      <c r="F30" s="244"/>
      <c r="G30" s="244"/>
      <c r="H30" s="244"/>
      <c r="I30" s="244"/>
      <c r="J30" s="244"/>
      <c r="K30" s="244"/>
      <c r="L30" s="244"/>
      <c r="M30" s="173" t="s">
        <v>223</v>
      </c>
      <c r="N30" s="173" t="s">
        <v>198</v>
      </c>
      <c r="O30" s="173" t="s">
        <v>224</v>
      </c>
      <c r="P30" s="244"/>
      <c r="Q30" s="244"/>
      <c r="R30" s="244"/>
      <c r="S30" s="244"/>
      <c r="T30" s="244"/>
      <c r="U30" s="244"/>
      <c r="V30" s="244"/>
      <c r="W30" s="89"/>
    </row>
    <row r="31" spans="1:23" ht="13.2">
      <c r="A31" s="430">
        <v>31</v>
      </c>
      <c r="B31" s="326" t="s">
        <v>225</v>
      </c>
      <c r="C31" s="247">
        <v>6000</v>
      </c>
      <c r="D31" s="247">
        <v>12</v>
      </c>
      <c r="E31" s="326">
        <f>C31/3</f>
        <v>2000</v>
      </c>
      <c r="F31" s="244">
        <f>C31/3</f>
        <v>2000</v>
      </c>
      <c r="G31" s="244"/>
      <c r="H31" s="244"/>
      <c r="I31" s="244"/>
      <c r="J31" s="244"/>
      <c r="K31" s="244"/>
      <c r="L31" s="244"/>
      <c r="M31" s="244">
        <v>0</v>
      </c>
      <c r="N31" s="408">
        <v>12</v>
      </c>
      <c r="O31" s="326">
        <f>C31/3</f>
        <v>2000</v>
      </c>
      <c r="P31" s="244"/>
      <c r="Q31" s="244"/>
      <c r="R31" s="244"/>
      <c r="S31" s="244"/>
      <c r="T31" s="244"/>
      <c r="U31" s="244"/>
      <c r="V31" s="244"/>
      <c r="W31" s="89"/>
    </row>
    <row r="32" spans="1:23" ht="13.2">
      <c r="A32" s="430">
        <v>32</v>
      </c>
      <c r="B32" s="326" t="s">
        <v>226</v>
      </c>
      <c r="C32" s="247">
        <v>18000</v>
      </c>
      <c r="D32" s="247">
        <v>12</v>
      </c>
      <c r="E32" s="326">
        <f>C32/3</f>
        <v>6000</v>
      </c>
      <c r="F32" s="244">
        <f>C32/3</f>
        <v>6000</v>
      </c>
      <c r="G32" s="244"/>
      <c r="H32" s="244"/>
      <c r="I32" s="244"/>
      <c r="J32" s="244"/>
      <c r="K32" s="244"/>
      <c r="L32" s="244"/>
      <c r="M32" s="244">
        <v>0</v>
      </c>
      <c r="N32" s="408">
        <v>12</v>
      </c>
      <c r="O32" s="326">
        <f>C32/3</f>
        <v>6000</v>
      </c>
      <c r="P32" s="244"/>
      <c r="Q32" s="244"/>
      <c r="R32" s="244"/>
      <c r="S32" s="244"/>
      <c r="T32" s="244"/>
      <c r="U32" s="244"/>
      <c r="V32" s="244"/>
      <c r="W32" s="89"/>
    </row>
    <row r="33" spans="1:23" ht="13.2">
      <c r="A33" s="430">
        <v>33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89"/>
    </row>
    <row r="34" spans="1:23" ht="15.75" customHeight="1">
      <c r="A34" s="430">
        <v>34</v>
      </c>
      <c r="B34" s="326" t="s">
        <v>227</v>
      </c>
      <c r="C34" s="465">
        <f>C32+C31</f>
        <v>24000</v>
      </c>
      <c r="D34" s="465"/>
      <c r="E34" s="465"/>
      <c r="F34" s="465"/>
      <c r="G34" s="465"/>
      <c r="H34" s="465"/>
      <c r="I34" s="465"/>
      <c r="J34" s="465"/>
      <c r="K34" s="465"/>
      <c r="L34" s="154"/>
      <c r="M34" s="465">
        <f>M31+M32</f>
        <v>0</v>
      </c>
      <c r="N34" s="465"/>
      <c r="O34" s="465"/>
      <c r="P34" s="465"/>
      <c r="Q34" s="465"/>
      <c r="R34" s="465"/>
      <c r="S34" s="465"/>
      <c r="T34" s="465"/>
      <c r="U34" s="465"/>
      <c r="V34" s="154"/>
      <c r="W34" s="89"/>
    </row>
    <row r="35" spans="1:23" ht="15.75" customHeight="1">
      <c r="A35" s="430">
        <v>35</v>
      </c>
      <c r="B35" s="326" t="s">
        <v>228</v>
      </c>
      <c r="C35" s="465">
        <f>E31+E32</f>
        <v>8000</v>
      </c>
      <c r="D35" s="465"/>
      <c r="E35" s="465"/>
      <c r="F35" s="465"/>
      <c r="G35" s="465"/>
      <c r="H35" s="465"/>
      <c r="I35" s="465"/>
      <c r="J35" s="465"/>
      <c r="K35" s="465"/>
      <c r="L35" s="154"/>
      <c r="M35" s="465">
        <f>O31+O32</f>
        <v>8000</v>
      </c>
      <c r="N35" s="465"/>
      <c r="O35" s="465"/>
      <c r="P35" s="465"/>
      <c r="Q35" s="465"/>
      <c r="R35" s="465"/>
      <c r="S35" s="465"/>
      <c r="T35" s="465"/>
      <c r="U35" s="465"/>
      <c r="V35" s="154"/>
      <c r="W35" s="89"/>
    </row>
    <row r="36" spans="1:23" ht="13.2">
      <c r="A36" s="168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168"/>
    </row>
    <row r="37" spans="1:23" ht="13.2">
      <c r="A37" s="168"/>
      <c r="B37" s="31"/>
      <c r="C37" s="168"/>
      <c r="D37" s="168"/>
      <c r="E37" s="168"/>
      <c r="F37" s="168"/>
      <c r="G37" s="168"/>
      <c r="H37" s="168"/>
      <c r="I37" s="168"/>
      <c r="J37" s="168"/>
      <c r="P37" s="168"/>
      <c r="Q37" s="168"/>
      <c r="R37" s="168"/>
      <c r="S37" s="168"/>
      <c r="T37" s="168"/>
      <c r="U37" s="168"/>
      <c r="V37" s="168"/>
      <c r="W37" s="168"/>
    </row>
  </sheetData>
  <mergeCells count="16">
    <mergeCell ref="C2:K2"/>
    <mergeCell ref="M2:U2"/>
    <mergeCell ref="C3:E3"/>
    <mergeCell ref="F3:H3"/>
    <mergeCell ref="I3:K3"/>
    <mergeCell ref="M3:O3"/>
    <mergeCell ref="P3:R3"/>
    <mergeCell ref="S3:U3"/>
    <mergeCell ref="C35:K35"/>
    <mergeCell ref="M35:U35"/>
    <mergeCell ref="C27:K27"/>
    <mergeCell ref="M27:U27"/>
    <mergeCell ref="C28:K28"/>
    <mergeCell ref="M28:U28"/>
    <mergeCell ref="C34:K34"/>
    <mergeCell ref="M34:U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9"/>
  <sheetViews>
    <sheetView workbookViewId="0"/>
  </sheetViews>
  <sheetFormatPr baseColWidth="10" defaultColWidth="10.6640625" defaultRowHeight="12.75" customHeight="1"/>
  <cols>
    <col min="1" max="1" width="40.109375" customWidth="1"/>
    <col min="2" max="2" width="8.6640625" customWidth="1"/>
    <col min="3" max="3" width="11.44140625" customWidth="1"/>
    <col min="4" max="4" width="8.44140625" customWidth="1"/>
    <col min="5" max="5" width="7.44140625" customWidth="1"/>
    <col min="6" max="6" width="8" customWidth="1"/>
    <col min="7" max="7" width="8.33203125" customWidth="1"/>
    <col min="8" max="8" width="7.44140625" customWidth="1"/>
    <col min="9" max="9" width="10.33203125" customWidth="1"/>
    <col min="10" max="10" width="10.88671875" customWidth="1"/>
    <col min="11" max="11" width="8.44140625" customWidth="1"/>
    <col min="12" max="12" width="8.33203125" customWidth="1"/>
    <col min="13" max="13" width="11.33203125" customWidth="1"/>
    <col min="14" max="18" width="8.6640625" customWidth="1"/>
    <col min="19" max="19" width="10.44140625" customWidth="1"/>
    <col min="20" max="20" width="10.88671875" customWidth="1"/>
  </cols>
  <sheetData>
    <row r="1" spans="1:21" ht="13.5" customHeight="1">
      <c r="A1" s="160"/>
      <c r="B1" s="82"/>
      <c r="C1" s="66"/>
      <c r="D1" s="468" t="s">
        <v>229</v>
      </c>
      <c r="E1" s="469"/>
      <c r="F1" s="469"/>
      <c r="G1" s="469"/>
      <c r="H1" s="469"/>
      <c r="I1" s="469"/>
      <c r="J1" s="469"/>
      <c r="K1" s="469"/>
      <c r="L1" s="470"/>
      <c r="M1" s="471" t="s">
        <v>230</v>
      </c>
      <c r="N1" s="472"/>
      <c r="O1" s="472"/>
      <c r="P1" s="472"/>
      <c r="Q1" s="472"/>
      <c r="R1" s="472"/>
      <c r="S1" s="472"/>
      <c r="T1" s="472"/>
      <c r="U1" s="473"/>
    </row>
    <row r="2" spans="1:21" ht="13.2">
      <c r="A2" s="256"/>
      <c r="B2" s="276"/>
      <c r="C2" s="167"/>
      <c r="D2" s="474" t="s">
        <v>231</v>
      </c>
      <c r="E2" s="475"/>
      <c r="F2" s="476"/>
      <c r="G2" s="474" t="s">
        <v>232</v>
      </c>
      <c r="H2" s="475"/>
      <c r="I2" s="475"/>
      <c r="J2" s="477"/>
      <c r="K2" s="9"/>
      <c r="L2" s="240"/>
      <c r="M2" s="132"/>
      <c r="N2" s="474" t="s">
        <v>231</v>
      </c>
      <c r="O2" s="475"/>
      <c r="P2" s="476"/>
      <c r="Q2" s="474" t="s">
        <v>232</v>
      </c>
      <c r="R2" s="475"/>
      <c r="S2" s="475"/>
      <c r="T2" s="476"/>
      <c r="U2" s="431"/>
    </row>
    <row r="3" spans="1:21" ht="33.75" customHeight="1">
      <c r="A3" s="70" t="s">
        <v>193</v>
      </c>
      <c r="B3" s="254" t="s">
        <v>56</v>
      </c>
      <c r="C3" s="356" t="s">
        <v>233</v>
      </c>
      <c r="D3" s="59" t="s">
        <v>234</v>
      </c>
      <c r="E3" s="254" t="s">
        <v>235</v>
      </c>
      <c r="F3" s="215" t="s">
        <v>236</v>
      </c>
      <c r="G3" s="327" t="s">
        <v>237</v>
      </c>
      <c r="H3" s="254" t="s">
        <v>238</v>
      </c>
      <c r="I3" s="254" t="s">
        <v>239</v>
      </c>
      <c r="J3" s="215" t="s">
        <v>187</v>
      </c>
      <c r="K3" s="189" t="s">
        <v>71</v>
      </c>
      <c r="L3" s="271" t="s">
        <v>240</v>
      </c>
      <c r="M3" s="407" t="s">
        <v>56</v>
      </c>
      <c r="N3" s="59" t="s">
        <v>234</v>
      </c>
      <c r="O3" s="254" t="s">
        <v>235</v>
      </c>
      <c r="P3" s="356" t="s">
        <v>236</v>
      </c>
      <c r="Q3" s="59" t="s">
        <v>237</v>
      </c>
      <c r="R3" s="254" t="s">
        <v>238</v>
      </c>
      <c r="S3" s="254" t="s">
        <v>239</v>
      </c>
      <c r="T3" s="356" t="s">
        <v>187</v>
      </c>
      <c r="U3" s="287" t="s">
        <v>240</v>
      </c>
    </row>
    <row r="4" spans="1:21" ht="13.2">
      <c r="A4" s="123" t="s">
        <v>241</v>
      </c>
      <c r="B4" s="276"/>
      <c r="C4" s="167"/>
      <c r="D4" s="123"/>
      <c r="E4" s="276"/>
      <c r="F4" s="104"/>
      <c r="G4" s="27"/>
      <c r="H4" s="276"/>
      <c r="I4" s="276"/>
      <c r="J4" s="104"/>
      <c r="K4" s="410"/>
      <c r="L4" s="410"/>
      <c r="M4" s="406"/>
      <c r="N4" s="256"/>
      <c r="O4" s="168"/>
      <c r="P4" s="423"/>
      <c r="Q4" s="256"/>
      <c r="R4" s="168"/>
      <c r="S4" s="168"/>
      <c r="T4" s="423"/>
      <c r="U4" s="136"/>
    </row>
    <row r="5" spans="1:21" ht="13.2">
      <c r="A5" s="123" t="s">
        <v>242</v>
      </c>
      <c r="B5" s="257">
        <f>'Personnel,salaires'!P15</f>
        <v>246700</v>
      </c>
      <c r="C5" s="167"/>
      <c r="D5" s="51">
        <f>'Personnel,salaires'!P5+'Personnel,salaires'!P8</f>
        <v>50400</v>
      </c>
      <c r="E5" s="13">
        <f>'Personnel,salaires'!P5</f>
        <v>36000</v>
      </c>
      <c r="F5" s="306">
        <f>'Personnel,salaires'!P6</f>
        <v>36000</v>
      </c>
      <c r="G5" s="159">
        <f>'Personnel,salaires'!P10</f>
        <v>36000</v>
      </c>
      <c r="H5" s="13">
        <f>'Personnel,salaires'!P11</f>
        <v>22500</v>
      </c>
      <c r="I5" s="13">
        <f>'Personnel,salaires'!P12</f>
        <v>44800</v>
      </c>
      <c r="J5" s="306">
        <f>'Personnel,salaires'!P13</f>
        <v>21000</v>
      </c>
      <c r="K5" s="135"/>
      <c r="L5" s="135">
        <f>SUM(D5:J5)</f>
        <v>246700</v>
      </c>
      <c r="M5" s="389">
        <f>'Personnel,salaires'!AD15</f>
        <v>469300</v>
      </c>
      <c r="N5" s="30">
        <f>'Personnel,salaires'!AD5+'Personnel,salaires'!AD8</f>
        <v>60000</v>
      </c>
      <c r="O5" s="386">
        <f>'Personnel,salaires'!AD6+'Personnel,salaires'!AD9</f>
        <v>75600</v>
      </c>
      <c r="P5" s="373">
        <f>'Personnel,salaires'!AD7</f>
        <v>42000</v>
      </c>
      <c r="Q5" s="30">
        <f>'Personnel,salaires'!AD10</f>
        <v>80500</v>
      </c>
      <c r="R5" s="386">
        <f>'Personnel,salaires'!AD11</f>
        <v>53200</v>
      </c>
      <c r="S5" s="386">
        <f>'Personnel,salaires'!AD12</f>
        <v>96000</v>
      </c>
      <c r="T5" s="373">
        <f>'Personnel,salaires'!AD13</f>
        <v>62000</v>
      </c>
      <c r="U5" s="290">
        <f t="shared" ref="U5:U11" si="0">SUM(N5:T5)</f>
        <v>469300</v>
      </c>
    </row>
    <row r="6" spans="1:21" ht="13.2">
      <c r="A6" s="123" t="s">
        <v>243</v>
      </c>
      <c r="B6" s="257">
        <f>B5*0.5</f>
        <v>123350</v>
      </c>
      <c r="C6" s="167"/>
      <c r="D6" s="51">
        <f t="shared" ref="D6:J6" si="1">D5*0.5</f>
        <v>25200</v>
      </c>
      <c r="E6" s="13">
        <f t="shared" si="1"/>
        <v>18000</v>
      </c>
      <c r="F6" s="306">
        <f t="shared" si="1"/>
        <v>18000</v>
      </c>
      <c r="G6" s="159">
        <f t="shared" si="1"/>
        <v>18000</v>
      </c>
      <c r="H6" s="13">
        <f t="shared" si="1"/>
        <v>11250</v>
      </c>
      <c r="I6" s="13">
        <f t="shared" si="1"/>
        <v>22400</v>
      </c>
      <c r="J6" s="306">
        <f t="shared" si="1"/>
        <v>10500</v>
      </c>
      <c r="K6" s="135"/>
      <c r="L6" s="135">
        <f>SUM(D6:J6)</f>
        <v>123350</v>
      </c>
      <c r="M6" s="389">
        <f t="shared" ref="M6:T6" si="2">M5*0.5</f>
        <v>234650</v>
      </c>
      <c r="N6" s="30">
        <f t="shared" si="2"/>
        <v>30000</v>
      </c>
      <c r="O6" s="386">
        <f t="shared" si="2"/>
        <v>37800</v>
      </c>
      <c r="P6" s="373">
        <f t="shared" si="2"/>
        <v>21000</v>
      </c>
      <c r="Q6" s="30">
        <f t="shared" si="2"/>
        <v>40250</v>
      </c>
      <c r="R6" s="386">
        <f t="shared" si="2"/>
        <v>26600</v>
      </c>
      <c r="S6" s="386">
        <f t="shared" si="2"/>
        <v>48000</v>
      </c>
      <c r="T6" s="373">
        <f t="shared" si="2"/>
        <v>31000</v>
      </c>
      <c r="U6" s="290">
        <f t="shared" si="0"/>
        <v>234650</v>
      </c>
    </row>
    <row r="7" spans="1:21" ht="13.2">
      <c r="A7" s="123" t="s">
        <v>244</v>
      </c>
      <c r="B7" s="257">
        <f>B5+B6</f>
        <v>370050</v>
      </c>
      <c r="C7" s="167"/>
      <c r="D7" s="51">
        <f t="shared" ref="D7:J7" si="3">SUM(D5:D6)</f>
        <v>75600</v>
      </c>
      <c r="E7" s="13">
        <f t="shared" si="3"/>
        <v>54000</v>
      </c>
      <c r="F7" s="306">
        <f t="shared" si="3"/>
        <v>54000</v>
      </c>
      <c r="G7" s="159">
        <f t="shared" si="3"/>
        <v>54000</v>
      </c>
      <c r="H7" s="13">
        <f t="shared" si="3"/>
        <v>33750</v>
      </c>
      <c r="I7" s="13">
        <f t="shared" si="3"/>
        <v>67200</v>
      </c>
      <c r="J7" s="306">
        <f t="shared" si="3"/>
        <v>31500</v>
      </c>
      <c r="K7" s="135"/>
      <c r="L7" s="135">
        <f>SUM(L5:L6)</f>
        <v>370050</v>
      </c>
      <c r="M7" s="389">
        <f>SUM(M5:M6)</f>
        <v>703950</v>
      </c>
      <c r="N7" s="30">
        <f>N5+N6</f>
        <v>90000</v>
      </c>
      <c r="O7" s="386">
        <f t="shared" ref="O7:T7" si="4">SUM(O5:O6)</f>
        <v>113400</v>
      </c>
      <c r="P7" s="373">
        <f t="shared" si="4"/>
        <v>63000</v>
      </c>
      <c r="Q7" s="30">
        <f t="shared" si="4"/>
        <v>120750</v>
      </c>
      <c r="R7" s="386">
        <f t="shared" si="4"/>
        <v>79800</v>
      </c>
      <c r="S7" s="386">
        <f t="shared" si="4"/>
        <v>144000</v>
      </c>
      <c r="T7" s="373">
        <f t="shared" si="4"/>
        <v>93000</v>
      </c>
      <c r="U7" s="290">
        <f t="shared" si="0"/>
        <v>703950</v>
      </c>
    </row>
    <row r="8" spans="1:21" ht="25.5" customHeight="1">
      <c r="A8" s="148" t="s">
        <v>245</v>
      </c>
      <c r="B8" s="146">
        <f>(20/100)*B5</f>
        <v>49340</v>
      </c>
      <c r="C8" s="155" t="s">
        <v>246</v>
      </c>
      <c r="D8" s="51">
        <f t="shared" ref="D8:J8" si="5">(D7*$B$8)/$B$7</f>
        <v>10080</v>
      </c>
      <c r="E8" s="13">
        <f t="shared" si="5"/>
        <v>7200</v>
      </c>
      <c r="F8" s="306">
        <f t="shared" si="5"/>
        <v>7200</v>
      </c>
      <c r="G8" s="159">
        <f t="shared" si="5"/>
        <v>7200</v>
      </c>
      <c r="H8" s="13">
        <f t="shared" si="5"/>
        <v>4500</v>
      </c>
      <c r="I8" s="13">
        <f t="shared" si="5"/>
        <v>8960</v>
      </c>
      <c r="J8" s="306">
        <f t="shared" si="5"/>
        <v>4200</v>
      </c>
      <c r="K8" s="135"/>
      <c r="L8" s="135">
        <f>SUM(D8:J8)</f>
        <v>49340</v>
      </c>
      <c r="M8" s="389">
        <f>(20/100)*M5</f>
        <v>93860</v>
      </c>
      <c r="N8" s="30">
        <f>(N7*M8)/M7</f>
        <v>12000</v>
      </c>
      <c r="O8" s="386">
        <f>(O7*M8)/M7</f>
        <v>15120</v>
      </c>
      <c r="P8" s="373">
        <f>(P7*M8)/M7</f>
        <v>8400</v>
      </c>
      <c r="Q8" s="30">
        <f>(Q7*M8)/M7</f>
        <v>16100</v>
      </c>
      <c r="R8" s="386">
        <f>(R7*M8)/M7</f>
        <v>10640</v>
      </c>
      <c r="S8" s="386">
        <f>(S7*M8)/M7</f>
        <v>19200</v>
      </c>
      <c r="T8" s="373">
        <f>(T7*M8)/M7</f>
        <v>12400</v>
      </c>
      <c r="U8" s="290">
        <f t="shared" si="0"/>
        <v>93860</v>
      </c>
    </row>
    <row r="9" spans="1:21" ht="22.5" customHeight="1">
      <c r="A9" s="123" t="s">
        <v>247</v>
      </c>
      <c r="B9" s="146">
        <f>(8/100)*B5</f>
        <v>19736</v>
      </c>
      <c r="C9" s="155" t="s">
        <v>246</v>
      </c>
      <c r="D9" s="51">
        <f t="shared" ref="D9:J9" si="6">(D7*$B$9)/$B$7</f>
        <v>4032</v>
      </c>
      <c r="E9" s="13">
        <f t="shared" si="6"/>
        <v>2880</v>
      </c>
      <c r="F9" s="306">
        <f t="shared" si="6"/>
        <v>2880</v>
      </c>
      <c r="G9" s="159">
        <f t="shared" si="6"/>
        <v>2880</v>
      </c>
      <c r="H9" s="13">
        <f t="shared" si="6"/>
        <v>1800</v>
      </c>
      <c r="I9" s="13">
        <f t="shared" si="6"/>
        <v>3584</v>
      </c>
      <c r="J9" s="306">
        <f t="shared" si="6"/>
        <v>1680</v>
      </c>
      <c r="K9" s="135"/>
      <c r="L9" s="135">
        <f>SUM(D9:J9)</f>
        <v>19736</v>
      </c>
      <c r="M9" s="389">
        <f>(8/100)*M5</f>
        <v>37544</v>
      </c>
      <c r="N9" s="30">
        <f>(N8*M9)/M8</f>
        <v>4800</v>
      </c>
      <c r="O9" s="386">
        <f>(O7*M9)/M7</f>
        <v>6048</v>
      </c>
      <c r="P9" s="373">
        <f>(P7*M9)/M7</f>
        <v>3360</v>
      </c>
      <c r="Q9" s="30">
        <f>(Q7*M9)/M7</f>
        <v>6440</v>
      </c>
      <c r="R9" s="386">
        <f>(R7*M9)/M7</f>
        <v>4256</v>
      </c>
      <c r="S9" s="386">
        <f>(S7*M9)/M7</f>
        <v>7680</v>
      </c>
      <c r="T9" s="373">
        <f>(T7*M9)/M7</f>
        <v>4960</v>
      </c>
      <c r="U9" s="290">
        <f t="shared" si="0"/>
        <v>37544</v>
      </c>
    </row>
    <row r="10" spans="1:21" ht="13.2">
      <c r="A10" s="123" t="s">
        <v>248</v>
      </c>
      <c r="B10" s="257">
        <f>Immo!C28+Immo!C35</f>
        <v>21420.833333333336</v>
      </c>
      <c r="C10" s="167"/>
      <c r="D10" s="51">
        <f>(((Immo!L6+Immo!L9)+Immo!L22)+Immo!L23)+Immo!C35</f>
        <v>12463.333333333334</v>
      </c>
      <c r="E10" s="13">
        <f>Immo!L7</f>
        <v>873.33333333333337</v>
      </c>
      <c r="F10" s="306">
        <f>Immo!L8</f>
        <v>1706.6666666666667</v>
      </c>
      <c r="G10" s="159">
        <f>Immo!L11</f>
        <v>863.33333333333337</v>
      </c>
      <c r="H10" s="13">
        <f>Immo!L13</f>
        <v>1272.5</v>
      </c>
      <c r="I10" s="13">
        <f>Immo!L15+Immo!L16</f>
        <v>2262.2222222222222</v>
      </c>
      <c r="J10" s="306">
        <f>Immo!L18+Immo!L19</f>
        <v>1979.4444444444443</v>
      </c>
      <c r="K10" s="135"/>
      <c r="L10" s="135">
        <f>SUM(D10:J10)</f>
        <v>21420.833333333336</v>
      </c>
      <c r="M10" s="389">
        <f>Immo!M28+Immo!M35</f>
        <v>29165.277777777777</v>
      </c>
      <c r="N10" s="30">
        <f>(((Immo!V6+Immo!V9)+Immo!V22)+Immo!V23)+Immo!M35</f>
        <v>12463.333333333334</v>
      </c>
      <c r="O10" s="386">
        <f>Immo!V7+Immo!V10</f>
        <v>1746.6666666666667</v>
      </c>
      <c r="P10" s="373">
        <f>Immo!V8</f>
        <v>1706.6666666666667</v>
      </c>
      <c r="Q10" s="30">
        <f>Immo!V11+Immo!V12</f>
        <v>1654.7222222222224</v>
      </c>
      <c r="R10" s="386">
        <f>Immo!V13+Immo!V14</f>
        <v>2686.3888888888891</v>
      </c>
      <c r="S10" s="386">
        <f>(Immo!V15+Immo!V16)+Immo!V17</f>
        <v>4524.4444444444443</v>
      </c>
      <c r="T10" s="373">
        <f>(Immo!V18+Immo!V19)+Immo!V20</f>
        <v>4383.0555555555557</v>
      </c>
      <c r="U10" s="290">
        <f t="shared" si="0"/>
        <v>29165.277777777777</v>
      </c>
    </row>
    <row r="11" spans="1:21" ht="13.2">
      <c r="A11" s="317" t="s">
        <v>249</v>
      </c>
      <c r="B11" s="20">
        <f>SUM(B7:B10)</f>
        <v>460546.83333333331</v>
      </c>
      <c r="C11" s="167"/>
      <c r="D11" s="51">
        <f t="shared" ref="D11:J11" si="7">SUM(D7:D10)</f>
        <v>102175.33333333333</v>
      </c>
      <c r="E11" s="13">
        <f t="shared" si="7"/>
        <v>64953.333333333336</v>
      </c>
      <c r="F11" s="306">
        <f t="shared" si="7"/>
        <v>65786.666666666672</v>
      </c>
      <c r="G11" s="159">
        <f t="shared" si="7"/>
        <v>64943.333333333336</v>
      </c>
      <c r="H11" s="13">
        <f t="shared" si="7"/>
        <v>41322.5</v>
      </c>
      <c r="I11" s="13">
        <f t="shared" si="7"/>
        <v>82006.222222222219</v>
      </c>
      <c r="J11" s="306">
        <f t="shared" si="7"/>
        <v>39359.444444444445</v>
      </c>
      <c r="K11" s="135"/>
      <c r="L11" s="135">
        <f>SUM(D11:J11)</f>
        <v>460546.83333333331</v>
      </c>
      <c r="M11" s="320">
        <f t="shared" ref="M11:T11" si="8">SUM(M7:M10)</f>
        <v>864519.27777777775</v>
      </c>
      <c r="N11" s="17">
        <f t="shared" si="8"/>
        <v>119263.33333333333</v>
      </c>
      <c r="O11" s="339">
        <f t="shared" si="8"/>
        <v>136314.66666666666</v>
      </c>
      <c r="P11" s="300">
        <f t="shared" si="8"/>
        <v>76466.666666666672</v>
      </c>
      <c r="Q11" s="17">
        <f t="shared" si="8"/>
        <v>144944.72222222222</v>
      </c>
      <c r="R11" s="339">
        <f t="shared" si="8"/>
        <v>97382.388888888891</v>
      </c>
      <c r="S11" s="339">
        <f t="shared" si="8"/>
        <v>175404.44444444444</v>
      </c>
      <c r="T11" s="300">
        <f t="shared" si="8"/>
        <v>114743.05555555556</v>
      </c>
      <c r="U11" s="290">
        <f t="shared" si="0"/>
        <v>864519.27777777775</v>
      </c>
    </row>
    <row r="12" spans="1:21" ht="13.2">
      <c r="A12" s="123" t="s">
        <v>250</v>
      </c>
      <c r="B12" s="399">
        <f>SUM(D12:K12)</f>
        <v>10</v>
      </c>
      <c r="C12" s="167"/>
      <c r="D12" s="67">
        <v>2</v>
      </c>
      <c r="E12" s="417">
        <v>1</v>
      </c>
      <c r="F12" s="237">
        <v>1</v>
      </c>
      <c r="G12" s="10">
        <v>1</v>
      </c>
      <c r="H12" s="417">
        <v>1</v>
      </c>
      <c r="I12" s="417">
        <v>2</v>
      </c>
      <c r="J12" s="237">
        <v>2</v>
      </c>
      <c r="K12" s="29"/>
      <c r="L12" s="135"/>
      <c r="M12" s="424">
        <f>SUM(N12:T13)</f>
        <v>180</v>
      </c>
      <c r="N12" s="67">
        <v>2</v>
      </c>
      <c r="O12" s="417">
        <v>2</v>
      </c>
      <c r="P12" s="345">
        <v>1</v>
      </c>
      <c r="Q12" s="67">
        <v>2</v>
      </c>
      <c r="R12" s="417">
        <v>2</v>
      </c>
      <c r="S12" s="417">
        <v>3</v>
      </c>
      <c r="T12" s="345">
        <v>3</v>
      </c>
      <c r="U12" s="170"/>
    </row>
    <row r="13" spans="1:21" ht="13.2">
      <c r="A13" s="123" t="s">
        <v>251</v>
      </c>
      <c r="B13" s="276"/>
      <c r="C13" s="167"/>
      <c r="D13" s="67">
        <v>24</v>
      </c>
      <c r="E13" s="417">
        <v>12</v>
      </c>
      <c r="F13" s="237">
        <v>12</v>
      </c>
      <c r="G13" s="10">
        <v>12</v>
      </c>
      <c r="H13" s="417">
        <v>9</v>
      </c>
      <c r="I13" s="417">
        <v>16</v>
      </c>
      <c r="J13" s="237">
        <v>14</v>
      </c>
      <c r="K13" s="29"/>
      <c r="L13" s="80">
        <f>SUM(D13:K13)</f>
        <v>99</v>
      </c>
      <c r="M13" s="107"/>
      <c r="N13" s="67">
        <v>24</v>
      </c>
      <c r="O13" s="417">
        <v>24</v>
      </c>
      <c r="P13" s="345">
        <v>12</v>
      </c>
      <c r="Q13" s="67">
        <v>23</v>
      </c>
      <c r="R13" s="417">
        <v>19</v>
      </c>
      <c r="S13" s="417">
        <v>32</v>
      </c>
      <c r="T13" s="345">
        <v>31</v>
      </c>
      <c r="U13" s="170">
        <f>SUM(N13:T13)</f>
        <v>165</v>
      </c>
    </row>
    <row r="14" spans="1:21" ht="22.5" customHeight="1">
      <c r="A14" s="335" t="s">
        <v>252</v>
      </c>
      <c r="B14" s="124">
        <f>(((47*5)*8)-(10*8))</f>
        <v>1800</v>
      </c>
      <c r="C14" s="167"/>
      <c r="D14" s="67"/>
      <c r="E14" s="417"/>
      <c r="F14" s="237"/>
      <c r="G14" s="10"/>
      <c r="H14" s="417"/>
      <c r="I14" s="417"/>
      <c r="J14" s="237"/>
      <c r="K14" s="29"/>
      <c r="L14" s="80"/>
      <c r="M14" s="107">
        <f>B14</f>
        <v>1800</v>
      </c>
      <c r="N14" s="67"/>
      <c r="O14" s="417"/>
      <c r="P14" s="345"/>
      <c r="Q14" s="67"/>
      <c r="R14" s="417"/>
      <c r="S14" s="417"/>
      <c r="T14" s="345"/>
      <c r="U14" s="170"/>
    </row>
    <row r="15" spans="1:21" ht="13.2">
      <c r="A15" s="335" t="s">
        <v>253</v>
      </c>
      <c r="B15" s="417">
        <v>10</v>
      </c>
      <c r="C15" s="167"/>
      <c r="D15" s="67"/>
      <c r="E15" s="417"/>
      <c r="F15" s="237"/>
      <c r="G15" s="10"/>
      <c r="H15" s="417"/>
      <c r="I15" s="417"/>
      <c r="J15" s="237"/>
      <c r="K15" s="29"/>
      <c r="L15" s="80"/>
      <c r="M15" s="107">
        <v>10</v>
      </c>
      <c r="N15" s="67"/>
      <c r="O15" s="417"/>
      <c r="P15" s="345"/>
      <c r="Q15" s="67"/>
      <c r="R15" s="417"/>
      <c r="S15" s="417"/>
      <c r="T15" s="345"/>
      <c r="U15" s="170"/>
    </row>
    <row r="16" spans="1:21" ht="22.5" customHeight="1">
      <c r="A16" s="335" t="s">
        <v>254</v>
      </c>
      <c r="B16" s="386">
        <f>(B14-(B15*8))/12</f>
        <v>143.33333333333334</v>
      </c>
      <c r="C16" s="167"/>
      <c r="D16" s="56">
        <f t="shared" ref="D16:J16" si="9">D13*$B$16</f>
        <v>3440</v>
      </c>
      <c r="E16" s="376">
        <f t="shared" si="9"/>
        <v>1720</v>
      </c>
      <c r="F16" s="259">
        <f t="shared" si="9"/>
        <v>1720</v>
      </c>
      <c r="G16" s="422">
        <f t="shared" si="9"/>
        <v>1720</v>
      </c>
      <c r="H16" s="376">
        <f t="shared" si="9"/>
        <v>1290</v>
      </c>
      <c r="I16" s="376">
        <f t="shared" si="9"/>
        <v>2293.3333333333335</v>
      </c>
      <c r="J16" s="259">
        <f t="shared" si="9"/>
        <v>2006.6666666666667</v>
      </c>
      <c r="K16" s="80"/>
      <c r="L16" s="69">
        <f>SUM(D16:J16)</f>
        <v>14190</v>
      </c>
      <c r="M16" s="424">
        <f>(M14-(M15*8))/12</f>
        <v>143.33333333333334</v>
      </c>
      <c r="N16" s="56">
        <f>N13*M16</f>
        <v>3440</v>
      </c>
      <c r="O16" s="376">
        <f>O13*M16</f>
        <v>3440</v>
      </c>
      <c r="P16" s="101">
        <f>P13*M16</f>
        <v>1720</v>
      </c>
      <c r="Q16" s="56">
        <f>Q13*M16</f>
        <v>3296.666666666667</v>
      </c>
      <c r="R16" s="376">
        <f>R13*M16</f>
        <v>2723.3333333333335</v>
      </c>
      <c r="S16" s="376">
        <f>S13*M16</f>
        <v>4586.666666666667</v>
      </c>
      <c r="T16" s="101">
        <f>T13*M16</f>
        <v>4443.3333333333339</v>
      </c>
      <c r="U16" s="170">
        <f>SUM(N16:T16)</f>
        <v>23650</v>
      </c>
    </row>
    <row r="17" spans="1:21" ht="14.25" customHeight="1">
      <c r="A17" s="317" t="s">
        <v>255</v>
      </c>
      <c r="B17" s="276"/>
      <c r="C17" s="167"/>
      <c r="D17" s="50"/>
      <c r="E17" s="130"/>
      <c r="F17" s="150"/>
      <c r="G17" s="85"/>
      <c r="H17" s="130"/>
      <c r="I17" s="130"/>
      <c r="J17" s="150"/>
      <c r="K17" s="355"/>
      <c r="L17" s="355"/>
      <c r="M17" s="261"/>
      <c r="N17" s="255"/>
      <c r="O17" s="251"/>
      <c r="P17" s="179"/>
      <c r="Q17" s="255"/>
      <c r="R17" s="251"/>
      <c r="S17" s="251"/>
      <c r="T17" s="179"/>
      <c r="U17" s="170"/>
    </row>
    <row r="18" spans="1:21" ht="13.2">
      <c r="A18" s="123" t="s">
        <v>256</v>
      </c>
      <c r="B18" s="276"/>
      <c r="C18" s="167"/>
      <c r="D18" s="293">
        <f>D11</f>
        <v>102175.33333333333</v>
      </c>
      <c r="E18" s="398">
        <f t="shared" ref="E18:J18" si="10">((E16/(SUM($E$16:$K$16)))*$D$18)</f>
        <v>16348.053333333333</v>
      </c>
      <c r="F18" s="205">
        <f t="shared" si="10"/>
        <v>16348.053333333333</v>
      </c>
      <c r="G18" s="3">
        <f t="shared" si="10"/>
        <v>16348.053333333333</v>
      </c>
      <c r="H18" s="398">
        <f t="shared" si="10"/>
        <v>12261.039999999999</v>
      </c>
      <c r="I18" s="398">
        <f t="shared" si="10"/>
        <v>21797.404444444444</v>
      </c>
      <c r="J18" s="205">
        <f t="shared" si="10"/>
        <v>19072.728888888891</v>
      </c>
      <c r="K18" s="212"/>
      <c r="L18" s="212">
        <f>SUM(E18:K18)</f>
        <v>102175.33333333333</v>
      </c>
      <c r="M18" s="134"/>
      <c r="N18" s="4">
        <f>N11</f>
        <v>119263.33333333333</v>
      </c>
      <c r="O18" s="13">
        <f t="shared" ref="O18:T18" si="11">((O16/(SUM($O$16:$T$16)))*$N$18)</f>
        <v>20300.141843971629</v>
      </c>
      <c r="P18" s="13">
        <f t="shared" si="11"/>
        <v>10150.070921985814</v>
      </c>
      <c r="Q18" s="13">
        <f t="shared" si="11"/>
        <v>19454.302600472813</v>
      </c>
      <c r="R18" s="13">
        <f t="shared" si="11"/>
        <v>16070.94562647754</v>
      </c>
      <c r="S18" s="13">
        <f t="shared" si="11"/>
        <v>27066.855791962178</v>
      </c>
      <c r="T18" s="75">
        <f t="shared" si="11"/>
        <v>26221.016548463362</v>
      </c>
      <c r="U18" s="170">
        <f>SUM(O18:T18)</f>
        <v>119263.33333333334</v>
      </c>
    </row>
    <row r="19" spans="1:21" ht="13.2">
      <c r="A19" s="123" t="s">
        <v>235</v>
      </c>
      <c r="B19" s="276"/>
      <c r="C19" s="167" t="s">
        <v>257</v>
      </c>
      <c r="D19" s="51"/>
      <c r="E19" s="186">
        <f>E11+E18</f>
        <v>81301.386666666673</v>
      </c>
      <c r="F19" s="306">
        <f>((F16/(SUM($F$16:$K$16)))*$E$19)</f>
        <v>15485.978412698412</v>
      </c>
      <c r="G19" s="159">
        <f>((G16/(SUM($F$16:$K$16)))*$E$19)</f>
        <v>15485.978412698412</v>
      </c>
      <c r="H19" s="13">
        <f>((H16/(SUM($F$16:$K$16)))*$E$19)</f>
        <v>11614.48380952381</v>
      </c>
      <c r="I19" s="13">
        <f>((I16/(SUM($F$16:$K$16)))*$E$19)</f>
        <v>20647.971216931222</v>
      </c>
      <c r="J19" s="306">
        <f>((J16/(SUM($F$16:$K$16)))*$E$19)</f>
        <v>18066.974814814817</v>
      </c>
      <c r="K19" s="135"/>
      <c r="L19" s="135"/>
      <c r="M19" s="389"/>
      <c r="N19" s="255"/>
      <c r="O19" s="258">
        <f>O11+O18</f>
        <v>156614.80851063828</v>
      </c>
      <c r="P19" s="75">
        <f>((P16/(SUM($P$16:$T$16)))*$O$19)</f>
        <v>16063.057283142387</v>
      </c>
      <c r="Q19" s="307">
        <f>((Q16/(SUM($P$16:$T$16)))*$O$19)</f>
        <v>30787.526459356246</v>
      </c>
      <c r="R19" s="307">
        <f>((R16/(SUM($P$16:$T$16)))*$O$19)</f>
        <v>25433.174031642113</v>
      </c>
      <c r="S19" s="307">
        <f>((S16/(SUM($P$16:$T$16)))*$O$19)</f>
        <v>42834.819421713037</v>
      </c>
      <c r="T19" s="307">
        <f>((T16/(SUM($P$16:$T$16)))*$O$19)</f>
        <v>41496.231314784513</v>
      </c>
      <c r="U19" s="170"/>
    </row>
    <row r="20" spans="1:21" ht="13.5" customHeight="1">
      <c r="A20" s="123" t="s">
        <v>258</v>
      </c>
      <c r="B20" s="276"/>
      <c r="C20" s="167" t="s">
        <v>257</v>
      </c>
      <c r="D20" s="50"/>
      <c r="E20" s="130"/>
      <c r="F20" s="7">
        <f>(F11+F18)+F19</f>
        <v>97620.698412698417</v>
      </c>
      <c r="G20" s="85">
        <f>((G16/(SUM($G$16:$K$16)))*$F$20)</f>
        <v>22969.576097105506</v>
      </c>
      <c r="H20" s="130">
        <f>((H16/(SUM($G$16:$K$16)))*$F$20)</f>
        <v>17227.182072829131</v>
      </c>
      <c r="I20" s="130">
        <f>((I16/(SUM($G$16:$K$16)))*$F$20)</f>
        <v>30626.101462807346</v>
      </c>
      <c r="J20" s="150">
        <f>((J16/(SUM($G$16:$K$16)))*$F$20)</f>
        <v>26797.838779956426</v>
      </c>
      <c r="K20" s="355"/>
      <c r="L20" s="355"/>
      <c r="M20" s="261"/>
      <c r="N20" s="255"/>
      <c r="O20" s="251"/>
      <c r="P20" s="250">
        <f>(P11+P18)+P19</f>
        <v>102679.79487179487</v>
      </c>
      <c r="Q20" s="307">
        <f>(Q16/(SUM($Q$16:$T$16)))*$P$20</f>
        <v>22491.764590964591</v>
      </c>
      <c r="R20" s="307">
        <f>(R16/(SUM($Q$16:$T$16)))*$P$20</f>
        <v>18580.153357753359</v>
      </c>
      <c r="S20" s="307">
        <f>(S16/(SUM($Q$16:$T$16)))*$P$20</f>
        <v>31292.889865689864</v>
      </c>
      <c r="T20" s="307">
        <f>(T16/(SUM($Q$16:$T$16)))*$P$20</f>
        <v>30314.987057387058</v>
      </c>
      <c r="U20" s="170"/>
    </row>
    <row r="21" spans="1:21" ht="13.2">
      <c r="A21" s="123"/>
      <c r="B21" s="276"/>
      <c r="C21" s="167"/>
      <c r="D21" s="270"/>
      <c r="E21" s="398"/>
      <c r="F21" s="205"/>
      <c r="G21" s="3"/>
      <c r="H21" s="398"/>
      <c r="I21" s="398"/>
      <c r="J21" s="205"/>
      <c r="K21" s="212"/>
      <c r="L21" s="212"/>
      <c r="M21" s="134"/>
      <c r="N21" s="255"/>
      <c r="O21" s="251"/>
      <c r="P21" s="179"/>
      <c r="Q21" s="255"/>
      <c r="R21" s="251"/>
      <c r="S21" s="251"/>
      <c r="T21" s="179"/>
      <c r="U21" s="170"/>
    </row>
    <row r="22" spans="1:21" ht="13.2">
      <c r="A22" s="123" t="s">
        <v>259</v>
      </c>
      <c r="B22" s="276"/>
      <c r="C22" s="167"/>
      <c r="D22" s="51"/>
      <c r="E22" s="13"/>
      <c r="F22" s="306"/>
      <c r="G22" s="159">
        <f>SUM(G18:G21)+G11</f>
        <v>119746.94117647059</v>
      </c>
      <c r="H22" s="13">
        <f>SUM(H18:H21)+H11</f>
        <v>82425.205882352937</v>
      </c>
      <c r="I22" s="13">
        <f>SUM(I18:I21)+I11</f>
        <v>155077.69934640522</v>
      </c>
      <c r="J22" s="306">
        <f>SUM(J18:J21)+J11</f>
        <v>103296.98692810457</v>
      </c>
      <c r="K22" s="135"/>
      <c r="L22" s="296">
        <f>SUM(G22:K22)</f>
        <v>460546.83333333326</v>
      </c>
      <c r="M22" s="107"/>
      <c r="N22" s="262"/>
      <c r="O22" s="124"/>
      <c r="P22" s="23"/>
      <c r="Q22" s="51">
        <f>+SUM(Q18:Q21)+Q11</f>
        <v>217678.31587301588</v>
      </c>
      <c r="R22" s="13">
        <f>SUM(R18:R20)+R11</f>
        <v>157466.66190476192</v>
      </c>
      <c r="S22" s="13">
        <f>SUM(S18:S21)+S11</f>
        <v>276599.00952380954</v>
      </c>
      <c r="T22" s="75">
        <f>SUM(T18:T20)+T11</f>
        <v>212775.29047619051</v>
      </c>
      <c r="U22" s="222">
        <f>SUM(Q22:T22)</f>
        <v>864519.27777777787</v>
      </c>
    </row>
    <row r="23" spans="1:21" ht="13.2">
      <c r="A23" s="123"/>
      <c r="B23" s="276"/>
      <c r="C23" s="167"/>
      <c r="D23" s="51"/>
      <c r="E23" s="13"/>
      <c r="F23" s="306"/>
      <c r="G23" s="159"/>
      <c r="H23" s="13"/>
      <c r="I23" s="13"/>
      <c r="J23" s="306"/>
      <c r="K23" s="135"/>
      <c r="L23" s="135"/>
      <c r="M23" s="107"/>
      <c r="N23" s="262"/>
      <c r="O23" s="124"/>
      <c r="P23" s="23"/>
      <c r="Q23" s="262"/>
      <c r="R23" s="124"/>
      <c r="S23" s="124"/>
      <c r="T23" s="23"/>
      <c r="U23" s="350"/>
    </row>
    <row r="24" spans="1:21" s="5" customFormat="1" ht="13.5" customHeight="1">
      <c r="A24" s="278" t="s">
        <v>260</v>
      </c>
      <c r="B24" s="16"/>
      <c r="C24" s="62"/>
      <c r="D24" s="115"/>
      <c r="E24" s="120"/>
      <c r="F24" s="7"/>
      <c r="G24" s="99">
        <f>G22/G16</f>
        <v>69.620314637482906</v>
      </c>
      <c r="H24" s="291">
        <f>H22/H16</f>
        <v>63.895508435932513</v>
      </c>
      <c r="I24" s="291">
        <f>I22/I16</f>
        <v>67.621089831281338</v>
      </c>
      <c r="J24" s="108">
        <f>J22/J16</f>
        <v>51.476903784769718</v>
      </c>
      <c r="K24" s="323"/>
      <c r="L24" s="22"/>
      <c r="M24" s="272"/>
      <c r="N24" s="297"/>
      <c r="O24" s="11"/>
      <c r="P24" s="214"/>
      <c r="Q24" s="416">
        <f>Q22/Q16</f>
        <v>66.029822812846064</v>
      </c>
      <c r="R24" s="416">
        <f>R22/R16</f>
        <v>57.821295681063127</v>
      </c>
      <c r="S24" s="416">
        <f>S22/S16</f>
        <v>60.305016611295677</v>
      </c>
      <c r="T24" s="416">
        <f>T22/T16</f>
        <v>47.886411960132889</v>
      </c>
      <c r="U24" s="118"/>
    </row>
    <row r="25" spans="1:21" ht="13.2">
      <c r="A25" s="402"/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</row>
    <row r="26" spans="1:21" ht="13.2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</row>
    <row r="27" spans="1:21" ht="13.2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</row>
    <row r="28" spans="1:21" ht="13.2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</row>
    <row r="29" spans="1:21" ht="13.2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216"/>
      <c r="M29" s="168"/>
      <c r="N29" s="168"/>
      <c r="O29" s="168"/>
      <c r="P29" s="168"/>
      <c r="Q29" s="168"/>
      <c r="R29" s="168"/>
      <c r="S29" s="168"/>
      <c r="T29" s="168"/>
      <c r="U29" s="168"/>
    </row>
  </sheetData>
  <mergeCells count="6">
    <mergeCell ref="D1:L1"/>
    <mergeCell ref="M1:U1"/>
    <mergeCell ref="D2:F2"/>
    <mergeCell ref="G2:J2"/>
    <mergeCell ref="N2:P2"/>
    <mergeCell ref="Q2:T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3"/>
  <sheetViews>
    <sheetView workbookViewId="0">
      <selection activeCell="K29" sqref="K29"/>
    </sheetView>
  </sheetViews>
  <sheetFormatPr baseColWidth="10" defaultColWidth="10.6640625" defaultRowHeight="12.75" customHeight="1"/>
  <cols>
    <col min="1" max="1" width="24.109375" customWidth="1"/>
    <col min="2" max="2" width="6.6640625" customWidth="1"/>
    <col min="3" max="3" width="6" customWidth="1"/>
    <col min="4" max="4" width="8.33203125" customWidth="1"/>
    <col min="5" max="5" width="8.109375" customWidth="1"/>
    <col min="6" max="6" width="6" customWidth="1"/>
    <col min="7" max="7" width="8.33203125" customWidth="1"/>
    <col min="8" max="8" width="5.6640625" customWidth="1"/>
    <col min="9" max="9" width="6" customWidth="1"/>
    <col min="10" max="10" width="8.33203125" customWidth="1"/>
  </cols>
  <sheetData>
    <row r="1" spans="1:13" ht="46.5" customHeight="1">
      <c r="A1" s="93"/>
      <c r="B1" s="478" t="s">
        <v>261</v>
      </c>
      <c r="C1" s="479"/>
      <c r="D1" s="480"/>
      <c r="E1" s="478" t="s">
        <v>262</v>
      </c>
      <c r="F1" s="479"/>
      <c r="G1" s="480"/>
      <c r="H1" s="478" t="s">
        <v>263</v>
      </c>
      <c r="I1" s="479"/>
      <c r="J1" s="480"/>
      <c r="K1" s="256"/>
      <c r="L1" s="168"/>
      <c r="M1" s="168"/>
    </row>
    <row r="2" spans="1:13" ht="39" customHeight="1">
      <c r="A2" s="348" t="s">
        <v>264</v>
      </c>
      <c r="B2" s="59" t="s">
        <v>265</v>
      </c>
      <c r="C2" s="254" t="s">
        <v>266</v>
      </c>
      <c r="D2" s="266" t="s">
        <v>267</v>
      </c>
      <c r="E2" s="59" t="s">
        <v>265</v>
      </c>
      <c r="F2" s="254" t="s">
        <v>266</v>
      </c>
      <c r="G2" s="266" t="s">
        <v>268</v>
      </c>
      <c r="H2" s="59" t="s">
        <v>265</v>
      </c>
      <c r="I2" s="254" t="s">
        <v>266</v>
      </c>
      <c r="J2" s="266" t="s">
        <v>268</v>
      </c>
      <c r="K2" s="256"/>
      <c r="L2" s="168"/>
      <c r="M2" s="168"/>
    </row>
    <row r="3" spans="1:13" ht="13.2">
      <c r="A3" s="400" t="s">
        <v>269</v>
      </c>
      <c r="B3" s="123"/>
      <c r="C3" s="276"/>
      <c r="D3" s="167"/>
      <c r="E3" s="256"/>
      <c r="F3" s="168"/>
      <c r="G3" s="423"/>
      <c r="H3" s="123"/>
      <c r="I3" s="276"/>
      <c r="J3" s="167"/>
      <c r="K3" s="256"/>
      <c r="L3" s="168"/>
      <c r="M3" s="168"/>
    </row>
    <row r="4" spans="1:13" ht="13.2">
      <c r="A4" s="427" t="s">
        <v>67</v>
      </c>
      <c r="B4" s="255">
        <f>'TH '!G24</f>
        <v>69.620314637482906</v>
      </c>
      <c r="C4" s="49">
        <v>112</v>
      </c>
      <c r="D4" s="179">
        <f>C4*B4</f>
        <v>7797.4752393980853</v>
      </c>
      <c r="E4" s="51">
        <f>'TH '!Q24</f>
        <v>66.029822812846064</v>
      </c>
      <c r="F4" s="49">
        <f>C4</f>
        <v>112</v>
      </c>
      <c r="G4" s="75">
        <f>E4*F4</f>
        <v>7395.3401550387589</v>
      </c>
      <c r="H4" s="51">
        <f t="shared" ref="H4:I8" si="0">E4</f>
        <v>66.029822812846064</v>
      </c>
      <c r="I4" s="49">
        <f t="shared" si="0"/>
        <v>112</v>
      </c>
      <c r="J4" s="75">
        <f>H4*I4</f>
        <v>7395.3401550387589</v>
      </c>
      <c r="K4" s="256"/>
      <c r="L4" s="168"/>
      <c r="M4" s="168"/>
    </row>
    <row r="5" spans="1:13" ht="13.2">
      <c r="A5" s="427" t="s">
        <v>68</v>
      </c>
      <c r="B5" s="255">
        <f>'TH '!H24</f>
        <v>63.895508435932513</v>
      </c>
      <c r="C5" s="49">
        <v>120</v>
      </c>
      <c r="D5" s="179">
        <f>C5*B5</f>
        <v>7667.4610123119019</v>
      </c>
      <c r="E5" s="51">
        <f>'TH '!R24</f>
        <v>57.821295681063127</v>
      </c>
      <c r="F5" s="49">
        <f>C5</f>
        <v>120</v>
      </c>
      <c r="G5" s="75">
        <f>E5*F5</f>
        <v>6938.5554817275752</v>
      </c>
      <c r="H5" s="51">
        <f t="shared" si="0"/>
        <v>57.821295681063127</v>
      </c>
      <c r="I5" s="49">
        <f t="shared" si="0"/>
        <v>120</v>
      </c>
      <c r="J5" s="75">
        <f>H5*I5</f>
        <v>6938.5554817275752</v>
      </c>
      <c r="K5" s="256"/>
      <c r="L5" s="168"/>
      <c r="M5" s="31"/>
    </row>
    <row r="6" spans="1:13" ht="13.2">
      <c r="A6" s="427" t="s">
        <v>69</v>
      </c>
      <c r="B6" s="255">
        <f>'TH '!I24</f>
        <v>67.621089831281338</v>
      </c>
      <c r="C6" s="49">
        <v>232</v>
      </c>
      <c r="D6" s="179">
        <f>C6*B6</f>
        <v>15688.092840857271</v>
      </c>
      <c r="E6" s="51">
        <f>'TH '!S24</f>
        <v>60.305016611295677</v>
      </c>
      <c r="F6" s="49">
        <f>C6</f>
        <v>232</v>
      </c>
      <c r="G6" s="75">
        <f>E6*F6</f>
        <v>13990.763853820597</v>
      </c>
      <c r="H6" s="51">
        <f t="shared" si="0"/>
        <v>60.305016611295677</v>
      </c>
      <c r="I6" s="49">
        <f t="shared" si="0"/>
        <v>232</v>
      </c>
      <c r="J6" s="75">
        <f>H6*I6</f>
        <v>13990.763853820597</v>
      </c>
      <c r="K6" s="256"/>
      <c r="L6" s="168"/>
      <c r="M6" s="168"/>
    </row>
    <row r="7" spans="1:13" ht="13.2">
      <c r="A7" s="427" t="s">
        <v>70</v>
      </c>
      <c r="B7" s="255">
        <f>'TH '!J24</f>
        <v>51.476903784769718</v>
      </c>
      <c r="C7" s="49">
        <v>112</v>
      </c>
      <c r="D7" s="179">
        <f>C7*B7</f>
        <v>5765.4132238942084</v>
      </c>
      <c r="E7" s="51">
        <f>'TH '!T24</f>
        <v>47.886411960132889</v>
      </c>
      <c r="F7" s="49">
        <f>C7</f>
        <v>112</v>
      </c>
      <c r="G7" s="75">
        <f>E7*F7</f>
        <v>5363.2781395348838</v>
      </c>
      <c r="H7" s="51">
        <f t="shared" si="0"/>
        <v>47.886411960132889</v>
      </c>
      <c r="I7" s="49">
        <f t="shared" si="0"/>
        <v>112</v>
      </c>
      <c r="J7" s="75">
        <f>H7*I7</f>
        <v>5363.2781395348838</v>
      </c>
      <c r="K7" s="256"/>
      <c r="L7" s="168"/>
      <c r="M7" s="168"/>
    </row>
    <row r="8" spans="1:13" ht="13.2">
      <c r="A8" s="427" t="s">
        <v>71</v>
      </c>
      <c r="B8" s="255">
        <f>'TH '!K24</f>
        <v>0</v>
      </c>
      <c r="C8" s="49">
        <v>56</v>
      </c>
      <c r="D8" s="179">
        <f>C8*B8</f>
        <v>0</v>
      </c>
      <c r="E8" s="51">
        <v>0</v>
      </c>
      <c r="F8" s="49">
        <f>C8</f>
        <v>56</v>
      </c>
      <c r="G8" s="75">
        <f>E8*F8</f>
        <v>0</v>
      </c>
      <c r="H8" s="51">
        <f t="shared" si="0"/>
        <v>0</v>
      </c>
      <c r="I8" s="49">
        <f t="shared" si="0"/>
        <v>56</v>
      </c>
      <c r="J8" s="75">
        <f>H8*I8</f>
        <v>0</v>
      </c>
      <c r="K8" s="256"/>
      <c r="L8" s="168"/>
      <c r="M8" s="168"/>
    </row>
    <row r="9" spans="1:13" ht="13.2">
      <c r="A9" s="427" t="s">
        <v>270</v>
      </c>
      <c r="B9" s="262"/>
      <c r="C9" s="124"/>
      <c r="D9" s="250">
        <f>SUM(D4:D8)</f>
        <v>36918.442316461471</v>
      </c>
      <c r="E9" s="51"/>
      <c r="F9" s="276"/>
      <c r="G9" s="44">
        <f>SUM(G4:G8)</f>
        <v>33687.937630121814</v>
      </c>
      <c r="H9" s="123"/>
      <c r="I9" s="276"/>
      <c r="J9" s="44">
        <f>SUM(J4:J8)</f>
        <v>33687.937630121814</v>
      </c>
      <c r="K9" s="256"/>
      <c r="L9" s="168"/>
      <c r="M9" s="168"/>
    </row>
    <row r="10" spans="1:13" ht="13.2">
      <c r="A10" s="400" t="s">
        <v>271</v>
      </c>
      <c r="B10" s="262"/>
      <c r="C10" s="124"/>
      <c r="D10" s="303">
        <v>2000</v>
      </c>
      <c r="E10" s="123"/>
      <c r="F10" s="276"/>
      <c r="G10" s="303">
        <f>D10</f>
        <v>2000</v>
      </c>
      <c r="H10" s="123"/>
      <c r="I10" s="276"/>
      <c r="J10" s="303">
        <f>G10</f>
        <v>2000</v>
      </c>
      <c r="K10" s="256"/>
      <c r="L10" s="168"/>
      <c r="M10" s="168"/>
    </row>
    <row r="11" spans="1:13" ht="13.2">
      <c r="A11" s="427"/>
      <c r="B11" s="262"/>
      <c r="C11" s="124"/>
      <c r="D11" s="179"/>
      <c r="E11" s="123"/>
      <c r="F11" s="276"/>
      <c r="G11" s="167"/>
      <c r="H11" s="123"/>
      <c r="I11" s="276"/>
      <c r="J11" s="167"/>
      <c r="K11" s="256"/>
      <c r="L11" s="168"/>
      <c r="M11" s="168"/>
    </row>
    <row r="12" spans="1:13" ht="13.2">
      <c r="A12" s="400" t="s">
        <v>272</v>
      </c>
      <c r="B12" s="262"/>
      <c r="C12" s="124"/>
      <c r="D12" s="179"/>
      <c r="E12" s="123"/>
      <c r="F12" s="276"/>
      <c r="G12" s="167"/>
      <c r="H12" s="123"/>
      <c r="I12" s="276"/>
      <c r="J12" s="167"/>
      <c r="K12" s="256"/>
      <c r="L12" s="168"/>
      <c r="M12" s="168"/>
    </row>
    <row r="13" spans="1:13" ht="13.2">
      <c r="A13" s="427" t="s">
        <v>73</v>
      </c>
      <c r="B13" s="262">
        <f>'Tableau simu'!$B$45</f>
        <v>100</v>
      </c>
      <c r="C13" s="49">
        <v>144</v>
      </c>
      <c r="D13" s="179">
        <f>C13*B13</f>
        <v>14400</v>
      </c>
      <c r="E13" s="262">
        <f>'Tableau simu'!C45</f>
        <v>100</v>
      </c>
      <c r="F13" s="49">
        <f>C13</f>
        <v>144</v>
      </c>
      <c r="G13" s="179">
        <f>E13*F13</f>
        <v>14400</v>
      </c>
      <c r="H13" s="262">
        <f t="shared" ref="H13:I15" si="1">E13</f>
        <v>100</v>
      </c>
      <c r="I13" s="49">
        <f t="shared" si="1"/>
        <v>144</v>
      </c>
      <c r="J13" s="179">
        <f>H13*I13</f>
        <v>14400</v>
      </c>
      <c r="K13" s="256"/>
      <c r="L13" s="168"/>
      <c r="M13" s="168"/>
    </row>
    <row r="14" spans="1:13" ht="13.2">
      <c r="A14" s="427" t="s">
        <v>71</v>
      </c>
      <c r="B14" s="127">
        <f>IF(('Tableau simu'!B43&gt;0),0,100)</f>
        <v>100</v>
      </c>
      <c r="C14" s="49">
        <v>56</v>
      </c>
      <c r="D14" s="179">
        <f>C14*B14</f>
        <v>5600</v>
      </c>
      <c r="E14" s="262">
        <f>'Tableau simu'!C46</f>
        <v>100</v>
      </c>
      <c r="F14" s="49">
        <f>C14</f>
        <v>56</v>
      </c>
      <c r="G14" s="179">
        <f>E14*F14</f>
        <v>5600</v>
      </c>
      <c r="H14" s="262">
        <f t="shared" si="1"/>
        <v>100</v>
      </c>
      <c r="I14" s="49">
        <f t="shared" si="1"/>
        <v>56</v>
      </c>
      <c r="J14" s="179">
        <f>H14*I14</f>
        <v>5600</v>
      </c>
      <c r="K14" s="256"/>
      <c r="L14" s="168"/>
      <c r="M14" s="168"/>
    </row>
    <row r="15" spans="1:13" ht="13.2">
      <c r="A15" s="427" t="s">
        <v>74</v>
      </c>
      <c r="B15" s="262">
        <f>'Tableau simu'!$B$47</f>
        <v>60</v>
      </c>
      <c r="C15" s="49">
        <v>32</v>
      </c>
      <c r="D15" s="179">
        <f>C15*B15</f>
        <v>1920</v>
      </c>
      <c r="E15" s="262">
        <f>'Tableau simu'!C47</f>
        <v>60</v>
      </c>
      <c r="F15" s="49">
        <f>C15</f>
        <v>32</v>
      </c>
      <c r="G15" s="179">
        <f>E15*F15</f>
        <v>1920</v>
      </c>
      <c r="H15" s="262">
        <f t="shared" si="1"/>
        <v>60</v>
      </c>
      <c r="I15" s="49">
        <f t="shared" si="1"/>
        <v>32</v>
      </c>
      <c r="J15" s="179">
        <f>H15*I15</f>
        <v>1920</v>
      </c>
      <c r="K15" s="256"/>
      <c r="L15" s="168"/>
      <c r="M15" s="168"/>
    </row>
    <row r="16" spans="1:13" ht="13.2">
      <c r="A16" s="427" t="s">
        <v>75</v>
      </c>
      <c r="B16" s="262">
        <f>'Tableau simu'!$C$48</f>
        <v>700</v>
      </c>
      <c r="C16" s="124"/>
      <c r="D16" s="179"/>
      <c r="E16" s="262">
        <f>'Tableau simu'!C48</f>
        <v>700</v>
      </c>
      <c r="F16" s="276"/>
      <c r="G16" s="167"/>
      <c r="H16" s="262">
        <f>E16</f>
        <v>700</v>
      </c>
      <c r="I16" s="49">
        <v>24</v>
      </c>
      <c r="J16" s="179">
        <f>H16*I16</f>
        <v>16800</v>
      </c>
      <c r="K16" s="256"/>
      <c r="L16" s="168"/>
      <c r="M16" s="168"/>
    </row>
    <row r="17" spans="1:13" ht="13.2">
      <c r="A17" s="427" t="s">
        <v>273</v>
      </c>
      <c r="B17" s="262"/>
      <c r="C17" s="124"/>
      <c r="D17" s="250">
        <f>SUM(D13:D15)</f>
        <v>21920</v>
      </c>
      <c r="E17" s="123"/>
      <c r="F17" s="276"/>
      <c r="G17" s="250">
        <f>SUM(G13:G16)</f>
        <v>21920</v>
      </c>
      <c r="H17" s="123"/>
      <c r="I17" s="276"/>
      <c r="J17" s="250">
        <f>SUM(J13:J16)</f>
        <v>38720</v>
      </c>
      <c r="K17" s="256"/>
      <c r="L17" s="168"/>
      <c r="M17" s="168"/>
    </row>
    <row r="18" spans="1:13" ht="13.2">
      <c r="A18" s="400" t="s">
        <v>274</v>
      </c>
      <c r="B18" s="351"/>
      <c r="C18" s="334">
        <f>SUM(C4:C15)</f>
        <v>864</v>
      </c>
      <c r="D18" s="250">
        <f>(D9+D10)+D17</f>
        <v>60838.442316461471</v>
      </c>
      <c r="E18" s="123"/>
      <c r="F18" s="334"/>
      <c r="G18" s="250">
        <f>(G9+G10)+G17</f>
        <v>57607.937630121814</v>
      </c>
      <c r="H18" s="123"/>
      <c r="I18" s="334"/>
      <c r="J18" s="250">
        <f>(J9+J10)+J17</f>
        <v>74407.937630121814</v>
      </c>
      <c r="K18" s="256"/>
      <c r="L18" s="168"/>
      <c r="M18" s="168"/>
    </row>
    <row r="19" spans="1:13" ht="13.5" customHeight="1">
      <c r="A19" s="288"/>
      <c r="B19" s="178"/>
      <c r="C19" s="204"/>
      <c r="D19" s="394"/>
      <c r="E19" s="178"/>
      <c r="F19" s="204"/>
      <c r="G19" s="394"/>
      <c r="H19" s="46"/>
      <c r="I19" s="41"/>
      <c r="J19" s="39"/>
      <c r="K19" s="256"/>
      <c r="L19" s="168"/>
      <c r="M19" s="168"/>
    </row>
    <row r="20" spans="1:13" ht="13.2">
      <c r="A20" s="429" t="s">
        <v>275</v>
      </c>
      <c r="B20" s="160"/>
      <c r="C20" s="230"/>
      <c r="D20" s="122">
        <f>'Tableau simu'!B16</f>
        <v>100000</v>
      </c>
      <c r="E20" s="160"/>
      <c r="F20" s="230"/>
      <c r="G20" s="122">
        <f>'Tableau simu'!C16</f>
        <v>80000</v>
      </c>
      <c r="H20" s="160"/>
      <c r="I20" s="230"/>
      <c r="J20" s="122">
        <f>'Tableau simu'!D17</f>
        <v>120000</v>
      </c>
      <c r="K20" s="256"/>
      <c r="L20" s="168"/>
      <c r="M20" s="168"/>
    </row>
    <row r="21" spans="1:13" ht="13.5" customHeight="1">
      <c r="A21" s="337" t="s">
        <v>276</v>
      </c>
      <c r="B21" s="46"/>
      <c r="C21" s="39"/>
      <c r="D21" s="421">
        <f>D20*1.196</f>
        <v>119600</v>
      </c>
      <c r="E21" s="46"/>
      <c r="F21" s="39"/>
      <c r="G21" s="421">
        <f>G20*1.196</f>
        <v>95680</v>
      </c>
      <c r="H21" s="46"/>
      <c r="I21" s="39"/>
      <c r="J21" s="421">
        <f>J20*1.196</f>
        <v>143520</v>
      </c>
      <c r="K21" s="256"/>
      <c r="L21" s="168"/>
      <c r="M21" s="168"/>
    </row>
    <row r="22" spans="1:13" ht="13.2">
      <c r="A22" s="402"/>
      <c r="B22" s="402"/>
      <c r="C22" s="402"/>
      <c r="D22" s="402"/>
      <c r="E22" s="402"/>
      <c r="F22" s="402"/>
      <c r="G22" s="402"/>
      <c r="H22" s="402"/>
      <c r="I22" s="402"/>
      <c r="J22" s="402"/>
      <c r="K22" s="168"/>
      <c r="L22" s="168"/>
      <c r="M22" s="168"/>
    </row>
    <row r="23" spans="1:13" ht="13.2">
      <c r="A23" s="123" t="s">
        <v>277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22"/>
  <sheetViews>
    <sheetView workbookViewId="0">
      <selection activeCell="I26" sqref="I26"/>
    </sheetView>
  </sheetViews>
  <sheetFormatPr baseColWidth="10" defaultColWidth="10.6640625" defaultRowHeight="12.75" customHeight="1"/>
  <cols>
    <col min="1" max="1" width="3" customWidth="1"/>
    <col min="2" max="2" width="52.88671875" customWidth="1"/>
    <col min="3" max="6" width="7.88671875" customWidth="1"/>
    <col min="7" max="7" width="8.44140625" customWidth="1"/>
    <col min="8" max="8" width="7.88671875" customWidth="1"/>
    <col min="9" max="12" width="8.6640625" customWidth="1"/>
    <col min="13" max="13" width="9.33203125" customWidth="1"/>
    <col min="14" max="14" width="8.6640625" style="78" customWidth="1"/>
    <col min="15" max="18" width="8.6640625" customWidth="1"/>
    <col min="19" max="19" width="9.109375" customWidth="1"/>
    <col min="20" max="20" width="8.6640625" customWidth="1"/>
    <col min="21" max="22" width="10.109375" customWidth="1"/>
    <col min="23" max="23" width="8.6640625" customWidth="1"/>
    <col min="24" max="25" width="10.109375" customWidth="1"/>
    <col min="26" max="26" width="10.109375" style="78" customWidth="1"/>
    <col min="27" max="28" width="8.6640625" customWidth="1"/>
  </cols>
  <sheetData>
    <row r="1" spans="1:28" ht="13.2">
      <c r="A1" s="31">
        <v>1</v>
      </c>
      <c r="B1" s="31" t="s">
        <v>152</v>
      </c>
      <c r="C1" s="31" t="s">
        <v>153</v>
      </c>
      <c r="D1" s="31" t="s">
        <v>93</v>
      </c>
      <c r="E1" s="31" t="s">
        <v>154</v>
      </c>
      <c r="F1" s="31" t="s">
        <v>87</v>
      </c>
      <c r="G1" s="31" t="s">
        <v>155</v>
      </c>
      <c r="H1" s="31" t="s">
        <v>156</v>
      </c>
      <c r="I1" s="31" t="s">
        <v>157</v>
      </c>
      <c r="J1" s="31" t="s">
        <v>86</v>
      </c>
      <c r="K1" s="31" t="s">
        <v>158</v>
      </c>
      <c r="L1" s="31" t="s">
        <v>190</v>
      </c>
      <c r="M1" s="31" t="s">
        <v>88</v>
      </c>
      <c r="N1" s="430" t="s">
        <v>92</v>
      </c>
      <c r="O1" s="71" t="s">
        <v>91</v>
      </c>
      <c r="P1" s="31" t="s">
        <v>159</v>
      </c>
      <c r="Q1" s="31" t="s">
        <v>160</v>
      </c>
      <c r="R1" s="31" t="s">
        <v>161</v>
      </c>
      <c r="S1" s="31" t="s">
        <v>90</v>
      </c>
      <c r="T1" s="31" t="s">
        <v>162</v>
      </c>
      <c r="U1" s="31" t="s">
        <v>163</v>
      </c>
      <c r="V1" s="31" t="s">
        <v>164</v>
      </c>
      <c r="W1" s="31" t="s">
        <v>165</v>
      </c>
      <c r="X1" s="31" t="s">
        <v>166</v>
      </c>
      <c r="Y1" s="31" t="s">
        <v>167</v>
      </c>
      <c r="Z1" s="430" t="s">
        <v>278</v>
      </c>
      <c r="AA1" s="71" t="s">
        <v>168</v>
      </c>
      <c r="AB1" s="31" t="s">
        <v>169</v>
      </c>
    </row>
    <row r="2" spans="1:28" ht="13.5" customHeight="1">
      <c r="A2" s="31">
        <v>2</v>
      </c>
      <c r="B2" s="481" t="s">
        <v>279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2"/>
      <c r="O2" s="185"/>
      <c r="P2" s="36"/>
      <c r="Q2" s="36"/>
      <c r="R2" s="36"/>
      <c r="S2" s="36"/>
      <c r="T2" s="36"/>
      <c r="U2" s="36"/>
      <c r="V2" s="36"/>
      <c r="W2" s="36"/>
      <c r="X2" s="36"/>
      <c r="Y2" s="36"/>
      <c r="Z2" s="315"/>
      <c r="AA2" s="185"/>
      <c r="AB2" s="36"/>
    </row>
    <row r="3" spans="1:28" ht="13.2">
      <c r="A3" s="318">
        <v>3</v>
      </c>
      <c r="B3" s="536" t="s">
        <v>280</v>
      </c>
      <c r="C3" s="538" t="s">
        <v>9</v>
      </c>
      <c r="D3" s="538" t="s">
        <v>13</v>
      </c>
      <c r="E3" s="538" t="s">
        <v>15</v>
      </c>
      <c r="F3" s="538" t="s">
        <v>17</v>
      </c>
      <c r="G3" s="538" t="s">
        <v>19</v>
      </c>
      <c r="H3" s="538" t="s">
        <v>20</v>
      </c>
      <c r="I3" s="538" t="s">
        <v>22</v>
      </c>
      <c r="J3" s="538" t="s">
        <v>24</v>
      </c>
      <c r="K3" s="538" t="s">
        <v>26</v>
      </c>
      <c r="L3" s="538" t="s">
        <v>28</v>
      </c>
      <c r="M3" s="538" t="s">
        <v>30</v>
      </c>
      <c r="N3" s="538" t="s">
        <v>32</v>
      </c>
      <c r="O3" s="143" t="s">
        <v>9</v>
      </c>
      <c r="P3" s="143" t="s">
        <v>13</v>
      </c>
      <c r="Q3" s="143" t="s">
        <v>15</v>
      </c>
      <c r="R3" s="143" t="s">
        <v>17</v>
      </c>
      <c r="S3" s="143" t="s">
        <v>19</v>
      </c>
      <c r="T3" s="143" t="s">
        <v>20</v>
      </c>
      <c r="U3" s="143" t="s">
        <v>22</v>
      </c>
      <c r="V3" s="143" t="s">
        <v>24</v>
      </c>
      <c r="W3" s="143" t="s">
        <v>26</v>
      </c>
      <c r="X3" s="143" t="s">
        <v>28</v>
      </c>
      <c r="Y3" s="143" t="s">
        <v>30</v>
      </c>
      <c r="Z3" s="143" t="s">
        <v>32</v>
      </c>
      <c r="AA3" s="283" t="s">
        <v>9</v>
      </c>
      <c r="AB3" s="283" t="s">
        <v>13</v>
      </c>
    </row>
    <row r="4" spans="1:28" ht="13.2">
      <c r="A4" s="318">
        <v>4</v>
      </c>
      <c r="B4" s="504" t="s">
        <v>281</v>
      </c>
      <c r="C4" s="147">
        <f>'Prod,Fact,Encaisse'!D39/(1+(19.6/100))</f>
        <v>0</v>
      </c>
      <c r="D4" s="147">
        <f>'Prod,Fact,Encaisse'!E39/(1+(19.6/100))</f>
        <v>0</v>
      </c>
      <c r="E4" s="147">
        <f>'Prod,Fact,Encaisse'!F39/(1+(19.6/100))</f>
        <v>10000</v>
      </c>
      <c r="F4" s="147">
        <f>'Prod,Fact,Encaisse'!G39/(1+(19.6/100))</f>
        <v>10000</v>
      </c>
      <c r="G4" s="147">
        <f>'Prod,Fact,Encaisse'!H39/(1+(19.6/100))</f>
        <v>50000</v>
      </c>
      <c r="H4" s="147">
        <f>'Prod,Fact,Encaisse'!I39/(1+(19.6/100))</f>
        <v>50000</v>
      </c>
      <c r="I4" s="147">
        <f>'Prod,Fact,Encaisse'!J39/(1+(19.6/100))</f>
        <v>100000</v>
      </c>
      <c r="J4" s="147">
        <f>'Prod,Fact,Encaisse'!K39/(1+(19.6/100))</f>
        <v>100000</v>
      </c>
      <c r="K4" s="147">
        <f>'Prod,Fact,Encaisse'!L39/(1+(19.6/100))</f>
        <v>100000</v>
      </c>
      <c r="L4" s="147">
        <f>'Prod,Fact,Encaisse'!M39/(1+(19.6/100))</f>
        <v>100000</v>
      </c>
      <c r="M4" s="147">
        <f>'Prod,Fact,Encaisse'!N39/(1+(19.6/100))</f>
        <v>100000</v>
      </c>
      <c r="N4" s="147">
        <f>'Prod,Fact,Encaisse'!O39/(1+(19.6/100))</f>
        <v>100000</v>
      </c>
      <c r="O4" s="147">
        <f>'Prod,Fact,Encaisse'!P39/(1+(19.6/100))</f>
        <v>98000</v>
      </c>
      <c r="P4" s="147">
        <f>'Prod,Fact,Encaisse'!Q39/(1+(19.6/100))</f>
        <v>98000</v>
      </c>
      <c r="Q4" s="147">
        <f>'Prod,Fact,Encaisse'!R39/(1+(19.6/100))</f>
        <v>90000</v>
      </c>
      <c r="R4" s="147">
        <f>'Prod,Fact,Encaisse'!S39/(1+(19.6/100))</f>
        <v>90000</v>
      </c>
      <c r="S4" s="147">
        <f>'Prod,Fact,Encaisse'!T39/(1+(19.6/100))</f>
        <v>80000</v>
      </c>
      <c r="T4" s="147">
        <f>'Prod,Fact,Encaisse'!U39/(1+(19.6/100))</f>
        <v>80000</v>
      </c>
      <c r="U4" s="147">
        <f>'Prod,Fact,Encaisse'!V39/(1+(19.6/100))</f>
        <v>80000</v>
      </c>
      <c r="V4" s="147">
        <f>'Prod,Fact,Encaisse'!W39/(1+(19.6/100))</f>
        <v>80000</v>
      </c>
      <c r="W4" s="147">
        <f>'Prod,Fact,Encaisse'!X39/(1+(19.6/100))</f>
        <v>80000</v>
      </c>
      <c r="X4" s="147">
        <f>'Prod,Fact,Encaisse'!Y39/(1+(19.6/100))</f>
        <v>80000</v>
      </c>
      <c r="Y4" s="147">
        <f>'Prod,Fact,Encaisse'!Z39/(1+(19.6/100))</f>
        <v>80000</v>
      </c>
      <c r="Z4" s="147">
        <f>'Prod,Fact,Encaisse'!AA39/(1+(19.6/100))</f>
        <v>80000</v>
      </c>
      <c r="AA4" s="147">
        <f>'Prod,Fact,Encaisse'!AB39/(1+(19.6/100))</f>
        <v>72000</v>
      </c>
      <c r="AB4" s="147">
        <f>'Prod,Fact,Encaisse'!AC39/(1+(19.6/100))</f>
        <v>72000</v>
      </c>
    </row>
    <row r="5" spans="1:28" ht="13.2">
      <c r="A5" s="318">
        <v>5</v>
      </c>
      <c r="B5" s="504" t="s">
        <v>282</v>
      </c>
      <c r="C5" s="147">
        <f t="shared" ref="C5:AB5" si="0">C4*(19.6/100)</f>
        <v>0</v>
      </c>
      <c r="D5" s="147">
        <f t="shared" si="0"/>
        <v>0</v>
      </c>
      <c r="E5" s="147">
        <f t="shared" si="0"/>
        <v>1960</v>
      </c>
      <c r="F5" s="147">
        <f t="shared" si="0"/>
        <v>1960</v>
      </c>
      <c r="G5" s="147">
        <f t="shared" si="0"/>
        <v>9800</v>
      </c>
      <c r="H5" s="147">
        <f t="shared" si="0"/>
        <v>9800</v>
      </c>
      <c r="I5" s="147">
        <f t="shared" si="0"/>
        <v>19600</v>
      </c>
      <c r="J5" s="147">
        <f t="shared" si="0"/>
        <v>19600</v>
      </c>
      <c r="K5" s="147">
        <f t="shared" si="0"/>
        <v>19600</v>
      </c>
      <c r="L5" s="147">
        <f t="shared" si="0"/>
        <v>19600</v>
      </c>
      <c r="M5" s="147">
        <f t="shared" si="0"/>
        <v>19600</v>
      </c>
      <c r="N5" s="147">
        <f t="shared" si="0"/>
        <v>19600</v>
      </c>
      <c r="O5" s="147">
        <f t="shared" si="0"/>
        <v>19208</v>
      </c>
      <c r="P5" s="147">
        <f t="shared" si="0"/>
        <v>19208</v>
      </c>
      <c r="Q5" s="147">
        <f t="shared" si="0"/>
        <v>17640</v>
      </c>
      <c r="R5" s="147">
        <f t="shared" si="0"/>
        <v>17640</v>
      </c>
      <c r="S5" s="147">
        <f t="shared" si="0"/>
        <v>15680</v>
      </c>
      <c r="T5" s="147">
        <f t="shared" si="0"/>
        <v>15680</v>
      </c>
      <c r="U5" s="147">
        <f t="shared" si="0"/>
        <v>15680</v>
      </c>
      <c r="V5" s="147">
        <f t="shared" si="0"/>
        <v>15680</v>
      </c>
      <c r="W5" s="147">
        <f t="shared" si="0"/>
        <v>15680</v>
      </c>
      <c r="X5" s="147">
        <f t="shared" si="0"/>
        <v>15680</v>
      </c>
      <c r="Y5" s="147">
        <f t="shared" si="0"/>
        <v>15680</v>
      </c>
      <c r="Z5" s="147">
        <f t="shared" si="0"/>
        <v>15680</v>
      </c>
      <c r="AA5" s="147">
        <f t="shared" si="0"/>
        <v>14112</v>
      </c>
      <c r="AB5" s="147">
        <f t="shared" si="0"/>
        <v>14112</v>
      </c>
    </row>
    <row r="6" spans="1:28" ht="13.2">
      <c r="A6" s="318">
        <v>6</v>
      </c>
      <c r="B6" s="504" t="s">
        <v>283</v>
      </c>
      <c r="C6" s="147">
        <f>C5</f>
        <v>0</v>
      </c>
      <c r="D6" s="147">
        <f t="shared" ref="D6:N6" si="1">C6+D5</f>
        <v>0</v>
      </c>
      <c r="E6" s="147">
        <f t="shared" si="1"/>
        <v>1960</v>
      </c>
      <c r="F6" s="147">
        <f t="shared" si="1"/>
        <v>3920</v>
      </c>
      <c r="G6" s="147">
        <f t="shared" si="1"/>
        <v>13720</v>
      </c>
      <c r="H6" s="147">
        <f t="shared" si="1"/>
        <v>23520</v>
      </c>
      <c r="I6" s="147">
        <f t="shared" si="1"/>
        <v>43120</v>
      </c>
      <c r="J6" s="147">
        <f t="shared" si="1"/>
        <v>62720</v>
      </c>
      <c r="K6" s="147">
        <f t="shared" si="1"/>
        <v>82320</v>
      </c>
      <c r="L6" s="147">
        <f t="shared" si="1"/>
        <v>101920</v>
      </c>
      <c r="M6" s="147">
        <f t="shared" si="1"/>
        <v>121520</v>
      </c>
      <c r="N6" s="147">
        <f t="shared" si="1"/>
        <v>141120</v>
      </c>
      <c r="O6" s="147">
        <f>O5</f>
        <v>19208</v>
      </c>
      <c r="P6" s="147">
        <f t="shared" ref="P6:Z6" si="2">O6+P5</f>
        <v>38416</v>
      </c>
      <c r="Q6" s="147">
        <f t="shared" si="2"/>
        <v>56056</v>
      </c>
      <c r="R6" s="147">
        <f t="shared" si="2"/>
        <v>73696</v>
      </c>
      <c r="S6" s="147">
        <f t="shared" si="2"/>
        <v>89376</v>
      </c>
      <c r="T6" s="147">
        <f t="shared" si="2"/>
        <v>105056</v>
      </c>
      <c r="U6" s="147">
        <f t="shared" si="2"/>
        <v>120736</v>
      </c>
      <c r="V6" s="147">
        <f t="shared" si="2"/>
        <v>136416</v>
      </c>
      <c r="W6" s="147">
        <f t="shared" si="2"/>
        <v>152096</v>
      </c>
      <c r="X6" s="147">
        <f t="shared" si="2"/>
        <v>167776</v>
      </c>
      <c r="Y6" s="147">
        <f t="shared" si="2"/>
        <v>183456</v>
      </c>
      <c r="Z6" s="147">
        <f t="shared" si="2"/>
        <v>199136</v>
      </c>
      <c r="AA6" s="147">
        <f>AA5</f>
        <v>14112</v>
      </c>
      <c r="AB6" s="147">
        <f>AA6+AB5</f>
        <v>28224</v>
      </c>
    </row>
    <row r="7" spans="1:28" ht="13.2">
      <c r="A7" s="318">
        <v>7</v>
      </c>
      <c r="B7" s="504" t="s">
        <v>284</v>
      </c>
      <c r="C7" s="165">
        <f>'Prod,Fact,Encaisse'!D40</f>
        <v>0</v>
      </c>
      <c r="D7" s="165">
        <f>'Prod,Fact,Encaisse'!E40</f>
        <v>0</v>
      </c>
      <c r="E7" s="165">
        <f>'Prod,Fact,Encaisse'!F40</f>
        <v>0</v>
      </c>
      <c r="F7" s="165">
        <f>'Prod,Fact,Encaisse'!G40</f>
        <v>11960</v>
      </c>
      <c r="G7" s="165">
        <f>'Prod,Fact,Encaisse'!H40</f>
        <v>11960</v>
      </c>
      <c r="H7" s="165">
        <f>'Prod,Fact,Encaisse'!I40</f>
        <v>59800</v>
      </c>
      <c r="I7" s="165">
        <f>'Prod,Fact,Encaisse'!J40</f>
        <v>59800</v>
      </c>
      <c r="J7" s="165">
        <f>'Prod,Fact,Encaisse'!K40</f>
        <v>119600</v>
      </c>
      <c r="K7" s="165">
        <f>'Prod,Fact,Encaisse'!L40</f>
        <v>119600</v>
      </c>
      <c r="L7" s="165">
        <f>'Prod,Fact,Encaisse'!M40</f>
        <v>119600</v>
      </c>
      <c r="M7" s="165">
        <f>'Prod,Fact,Encaisse'!N40</f>
        <v>119600</v>
      </c>
      <c r="N7" s="165">
        <f>'Prod,Fact,Encaisse'!O40</f>
        <v>119600</v>
      </c>
      <c r="O7" s="165">
        <f>'Prod,Fact,Encaisse'!P81</f>
        <v>119600</v>
      </c>
      <c r="P7" s="165">
        <f>'Prod,Fact,Encaisse'!Q81</f>
        <v>117208</v>
      </c>
      <c r="Q7" s="165">
        <f>'Prod,Fact,Encaisse'!R81</f>
        <v>131560</v>
      </c>
      <c r="R7" s="165">
        <f>'Prod,Fact,Encaisse'!S81</f>
        <v>107640</v>
      </c>
      <c r="S7" s="165">
        <f>'Prod,Fact,Encaisse'!T81</f>
        <v>121992</v>
      </c>
      <c r="T7" s="165">
        <f>'Prod,Fact,Encaisse'!U81</f>
        <v>153088</v>
      </c>
      <c r="U7" s="165">
        <f>'Prod,Fact,Encaisse'!V81</f>
        <v>110032</v>
      </c>
      <c r="V7" s="165">
        <f>'Prod,Fact,Encaisse'!W81</f>
        <v>224848</v>
      </c>
      <c r="W7" s="165">
        <f>'Prod,Fact,Encaisse'!X81</f>
        <v>110032</v>
      </c>
      <c r="X7" s="165">
        <f>'Prod,Fact,Encaisse'!Y81</f>
        <v>224848</v>
      </c>
      <c r="Y7" s="165">
        <f>'Prod,Fact,Encaisse'!Z81</f>
        <v>110032</v>
      </c>
      <c r="Z7" s="165">
        <f>'Prod,Fact,Encaisse'!AA81</f>
        <v>224848</v>
      </c>
      <c r="AA7" s="165">
        <f>'Prod,Fact,Encaisse'!AB81</f>
        <v>110032</v>
      </c>
      <c r="AB7" s="165">
        <f>'Prod,Fact,Encaisse'!AC81</f>
        <v>215280</v>
      </c>
    </row>
    <row r="8" spans="1:28" ht="13.2">
      <c r="A8" s="318">
        <v>8</v>
      </c>
      <c r="B8" s="504" t="s">
        <v>285</v>
      </c>
      <c r="C8" s="147">
        <v>0</v>
      </c>
      <c r="D8" s="147">
        <f t="shared" ref="D8:AB8" si="3">(C7/(1+(19.6/100)))*(19.6/100)</f>
        <v>0</v>
      </c>
      <c r="E8" s="147">
        <f t="shared" si="3"/>
        <v>0</v>
      </c>
      <c r="F8" s="147">
        <f t="shared" si="3"/>
        <v>0</v>
      </c>
      <c r="G8" s="147">
        <f t="shared" si="3"/>
        <v>1960</v>
      </c>
      <c r="H8" s="147">
        <f t="shared" si="3"/>
        <v>1960</v>
      </c>
      <c r="I8" s="147">
        <f t="shared" si="3"/>
        <v>9800</v>
      </c>
      <c r="J8" s="147">
        <f t="shared" si="3"/>
        <v>9800</v>
      </c>
      <c r="K8" s="147">
        <f t="shared" si="3"/>
        <v>19600</v>
      </c>
      <c r="L8" s="147">
        <f t="shared" si="3"/>
        <v>19600</v>
      </c>
      <c r="M8" s="147">
        <f t="shared" si="3"/>
        <v>19600</v>
      </c>
      <c r="N8" s="147">
        <f t="shared" si="3"/>
        <v>19600</v>
      </c>
      <c r="O8" s="147">
        <f t="shared" si="3"/>
        <v>19600</v>
      </c>
      <c r="P8" s="147">
        <f t="shared" si="3"/>
        <v>19600</v>
      </c>
      <c r="Q8" s="147">
        <f t="shared" si="3"/>
        <v>19208</v>
      </c>
      <c r="R8" s="147">
        <f t="shared" si="3"/>
        <v>21560</v>
      </c>
      <c r="S8" s="147">
        <f t="shared" si="3"/>
        <v>17640</v>
      </c>
      <c r="T8" s="147">
        <f t="shared" si="3"/>
        <v>19992</v>
      </c>
      <c r="U8" s="147">
        <f t="shared" si="3"/>
        <v>25088</v>
      </c>
      <c r="V8" s="147">
        <f t="shared" si="3"/>
        <v>18032</v>
      </c>
      <c r="W8" s="147">
        <f t="shared" si="3"/>
        <v>36848</v>
      </c>
      <c r="X8" s="147">
        <f t="shared" si="3"/>
        <v>18032</v>
      </c>
      <c r="Y8" s="147">
        <f t="shared" si="3"/>
        <v>36848</v>
      </c>
      <c r="Z8" s="147">
        <f t="shared" si="3"/>
        <v>18032</v>
      </c>
      <c r="AA8" s="147">
        <f t="shared" si="3"/>
        <v>36848</v>
      </c>
      <c r="AB8" s="147">
        <f t="shared" si="3"/>
        <v>18032</v>
      </c>
    </row>
    <row r="9" spans="1:28" ht="13.5" customHeight="1">
      <c r="A9" s="318">
        <v>9</v>
      </c>
      <c r="B9" s="504" t="s">
        <v>286</v>
      </c>
      <c r="C9" s="147">
        <v>0</v>
      </c>
      <c r="D9" s="147">
        <f t="shared" ref="D9:AB9" si="4">IF((C22=0),(D8+C9),D8)</f>
        <v>0</v>
      </c>
      <c r="E9" s="147">
        <f t="shared" si="4"/>
        <v>0</v>
      </c>
      <c r="F9" s="147">
        <f t="shared" si="4"/>
        <v>0</v>
      </c>
      <c r="G9" s="147">
        <f t="shared" si="4"/>
        <v>1960</v>
      </c>
      <c r="H9" s="147">
        <f t="shared" si="4"/>
        <v>3920</v>
      </c>
      <c r="I9" s="147">
        <f t="shared" si="4"/>
        <v>13720</v>
      </c>
      <c r="J9" s="147">
        <f t="shared" si="4"/>
        <v>23520</v>
      </c>
      <c r="K9" s="147">
        <f t="shared" si="4"/>
        <v>19600</v>
      </c>
      <c r="L9" s="147">
        <f t="shared" si="4"/>
        <v>19600</v>
      </c>
      <c r="M9" s="147">
        <f t="shared" si="4"/>
        <v>19600</v>
      </c>
      <c r="N9" s="147">
        <f t="shared" si="4"/>
        <v>19600</v>
      </c>
      <c r="O9" s="147">
        <f t="shared" si="4"/>
        <v>19600</v>
      </c>
      <c r="P9" s="147">
        <f t="shared" si="4"/>
        <v>19600</v>
      </c>
      <c r="Q9" s="147">
        <f t="shared" si="4"/>
        <v>19208</v>
      </c>
      <c r="R9" s="147">
        <f t="shared" si="4"/>
        <v>21560</v>
      </c>
      <c r="S9" s="147">
        <f t="shared" si="4"/>
        <v>17640</v>
      </c>
      <c r="T9" s="147">
        <f t="shared" si="4"/>
        <v>19992</v>
      </c>
      <c r="U9" s="147">
        <f t="shared" si="4"/>
        <v>25088</v>
      </c>
      <c r="V9" s="147">
        <f t="shared" si="4"/>
        <v>18032</v>
      </c>
      <c r="W9" s="147">
        <f t="shared" si="4"/>
        <v>36848</v>
      </c>
      <c r="X9" s="147">
        <f t="shared" si="4"/>
        <v>18032</v>
      </c>
      <c r="Y9" s="147">
        <f t="shared" si="4"/>
        <v>36848</v>
      </c>
      <c r="Z9" s="147">
        <f t="shared" si="4"/>
        <v>18032</v>
      </c>
      <c r="AA9" s="147">
        <f t="shared" si="4"/>
        <v>36848</v>
      </c>
      <c r="AB9" s="147">
        <f t="shared" si="4"/>
        <v>54880</v>
      </c>
    </row>
    <row r="10" spans="1:28" ht="13.5" customHeight="1">
      <c r="A10" s="318">
        <v>10</v>
      </c>
      <c r="B10" s="360" t="s">
        <v>287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119"/>
      <c r="N10" s="265">
        <f>N8+N9</f>
        <v>39200</v>
      </c>
      <c r="O10" s="139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413">
        <f>'Produits '!D7*0.196-SUM(O8:Z8)</f>
        <v>15680</v>
      </c>
      <c r="AA10" s="253"/>
      <c r="AB10" s="119"/>
    </row>
    <row r="11" spans="1:28" ht="13.5" customHeight="1">
      <c r="A11" s="318">
        <v>11</v>
      </c>
      <c r="B11" s="378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156"/>
      <c r="N11" s="126"/>
      <c r="O11" s="137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164"/>
      <c r="AA11" s="253"/>
      <c r="AB11" s="119"/>
    </row>
    <row r="12" spans="1:28" ht="13.2">
      <c r="A12" s="318">
        <v>12</v>
      </c>
      <c r="B12" s="537" t="s">
        <v>288</v>
      </c>
      <c r="C12" s="34" t="s">
        <v>9</v>
      </c>
      <c r="D12" s="34" t="s">
        <v>13</v>
      </c>
      <c r="E12" s="34" t="s">
        <v>15</v>
      </c>
      <c r="F12" s="34" t="s">
        <v>17</v>
      </c>
      <c r="G12" s="34" t="s">
        <v>19</v>
      </c>
      <c r="H12" s="34" t="s">
        <v>20</v>
      </c>
      <c r="I12" s="34" t="s">
        <v>22</v>
      </c>
      <c r="J12" s="34" t="s">
        <v>24</v>
      </c>
      <c r="K12" s="34" t="s">
        <v>26</v>
      </c>
      <c r="L12" s="34" t="s">
        <v>28</v>
      </c>
      <c r="M12" s="34" t="s">
        <v>30</v>
      </c>
      <c r="N12" s="283" t="s">
        <v>32</v>
      </c>
      <c r="O12" s="34" t="s">
        <v>9</v>
      </c>
      <c r="P12" s="34" t="s">
        <v>13</v>
      </c>
      <c r="Q12" s="34" t="s">
        <v>15</v>
      </c>
      <c r="R12" s="34" t="s">
        <v>17</v>
      </c>
      <c r="S12" s="34" t="s">
        <v>19</v>
      </c>
      <c r="T12" s="34" t="s">
        <v>20</v>
      </c>
      <c r="U12" s="34" t="s">
        <v>22</v>
      </c>
      <c r="V12" s="34" t="s">
        <v>24</v>
      </c>
      <c r="W12" s="34" t="s">
        <v>26</v>
      </c>
      <c r="X12" s="34" t="s">
        <v>28</v>
      </c>
      <c r="Y12" s="34" t="s">
        <v>30</v>
      </c>
      <c r="Z12" s="34" t="s">
        <v>32</v>
      </c>
      <c r="AA12" s="34" t="s">
        <v>9</v>
      </c>
      <c r="AB12" s="34" t="s">
        <v>13</v>
      </c>
    </row>
    <row r="13" spans="1:28" ht="13.2">
      <c r="A13" s="318">
        <v>13</v>
      </c>
      <c r="B13" s="504" t="s">
        <v>289</v>
      </c>
      <c r="C13" s="34">
        <f>'Trésorerie '!C27</f>
        <v>3157.44</v>
      </c>
      <c r="D13" s="34">
        <f>'Trésorerie '!D27</f>
        <v>3157.44</v>
      </c>
      <c r="E13" s="34">
        <f>'Trésorerie '!E27</f>
        <v>3157.44</v>
      </c>
      <c r="F13" s="34">
        <f>'Trésorerie '!F27</f>
        <v>3755.44</v>
      </c>
      <c r="G13" s="34">
        <f>'Trésorerie '!G27</f>
        <v>5453.76</v>
      </c>
      <c r="H13" s="34">
        <f>'Trésorerie '!H27</f>
        <v>5453.76</v>
      </c>
      <c r="I13" s="34">
        <f>'Trésorerie '!I27</f>
        <v>5812.5599999999995</v>
      </c>
      <c r="J13" s="34">
        <f>'Trésorerie '!J27</f>
        <v>5812.5599999999995</v>
      </c>
      <c r="K13" s="34">
        <f>'Trésorerie '!K27</f>
        <v>5812.5599999999995</v>
      </c>
      <c r="L13" s="34">
        <f>'Trésorerie '!L27</f>
        <v>5812.5599999999995</v>
      </c>
      <c r="M13" s="34">
        <f>'Trésorerie '!M27</f>
        <v>5812.5599999999995</v>
      </c>
      <c r="N13" s="34">
        <f>'Trésorerie '!N27</f>
        <v>5812.5599999999995</v>
      </c>
      <c r="O13" s="34">
        <f>'Trésorerie '!O27</f>
        <v>7439.12</v>
      </c>
      <c r="P13" s="34">
        <f>'Trésorerie '!P27</f>
        <v>8276.32</v>
      </c>
      <c r="Q13" s="34">
        <f>'Trésorerie '!Q27</f>
        <v>8276.32</v>
      </c>
      <c r="R13" s="34">
        <f>'Trésorerie '!R27</f>
        <v>8276.32</v>
      </c>
      <c r="S13" s="34">
        <f>'Trésorerie '!S27</f>
        <v>8993.92</v>
      </c>
      <c r="T13" s="34">
        <f>'Trésorerie '!T27</f>
        <v>10142.08</v>
      </c>
      <c r="U13" s="34">
        <f>'Trésorerie '!U27</f>
        <v>10142.08</v>
      </c>
      <c r="V13" s="34">
        <f>'Trésorerie '!V27</f>
        <v>10142.08</v>
      </c>
      <c r="W13" s="34">
        <f>'Trésorerie '!W27</f>
        <v>10142.08</v>
      </c>
      <c r="X13" s="34">
        <f>'Trésorerie '!X27</f>
        <v>10142.08</v>
      </c>
      <c r="Y13" s="34">
        <f>'Trésorerie '!Y27</f>
        <v>10142.08</v>
      </c>
      <c r="Z13" s="34">
        <f>'Trésorerie '!Z27</f>
        <v>10142.08</v>
      </c>
      <c r="AA13" s="34"/>
      <c r="AB13" s="34"/>
    </row>
    <row r="14" spans="1:28" ht="13.2">
      <c r="A14" s="318">
        <v>14</v>
      </c>
      <c r="B14" s="504" t="s">
        <v>290</v>
      </c>
      <c r="C14" s="34">
        <f>'Trésorerie '!C9+'Trésorerie '!C10</f>
        <v>0</v>
      </c>
      <c r="D14" s="34">
        <f>'Trésorerie '!D9+'Trésorerie '!D10</f>
        <v>0</v>
      </c>
      <c r="E14" s="34">
        <f>'Trésorerie '!E9+'Trésorerie '!E10</f>
        <v>0</v>
      </c>
      <c r="F14" s="34">
        <f>'Trésorerie '!F9+'Trésorerie '!F10</f>
        <v>0</v>
      </c>
      <c r="G14" s="34">
        <f>'Trésorerie '!G9+'Trésorerie '!G10</f>
        <v>0</v>
      </c>
      <c r="H14" s="34">
        <f>'Trésorerie '!H9+'Trésorerie '!H10</f>
        <v>0</v>
      </c>
      <c r="I14" s="34">
        <f>'Trésorerie '!J9+'Trésorerie '!J10</f>
        <v>26216.32</v>
      </c>
      <c r="J14" s="34">
        <f>'Trésorerie '!K9+'Trésorerie '!K10</f>
        <v>26216.32</v>
      </c>
      <c r="K14" s="34">
        <f>'Trésorerie '!L9+'Trésorerie '!L10</f>
        <v>26216.32</v>
      </c>
      <c r="L14" s="34">
        <f>'Trésorerie '!M9+'Trésorerie '!M10</f>
        <v>26216.32</v>
      </c>
      <c r="M14" s="34">
        <f>'Trésorerie '!N9+'Trésorerie '!N10</f>
        <v>26216.32</v>
      </c>
      <c r="N14" s="34">
        <f>'Trésorerie '!O9+'Trésorerie '!O10</f>
        <v>26216.32</v>
      </c>
      <c r="O14" s="34">
        <v>26216.32</v>
      </c>
      <c r="P14" s="34">
        <v>26216.32</v>
      </c>
      <c r="Q14" s="34">
        <v>26216.32</v>
      </c>
      <c r="R14" s="34">
        <v>26216.32</v>
      </c>
      <c r="S14" s="34">
        <v>26216.32</v>
      </c>
      <c r="T14" s="34">
        <v>26216.32</v>
      </c>
      <c r="U14" s="34">
        <v>72525.440000000002</v>
      </c>
      <c r="V14" s="34">
        <v>26216.32</v>
      </c>
      <c r="W14" s="34">
        <v>72525.440000000002</v>
      </c>
      <c r="X14" s="34">
        <v>26216.32</v>
      </c>
      <c r="Y14" s="34">
        <v>72525.440000000002</v>
      </c>
      <c r="Z14" s="34">
        <v>26216.32</v>
      </c>
      <c r="AA14" s="34">
        <v>26216.32</v>
      </c>
      <c r="AB14" s="34">
        <v>26216.32</v>
      </c>
    </row>
    <row r="15" spans="1:28" ht="13.2">
      <c r="A15" s="318">
        <v>15</v>
      </c>
      <c r="B15" s="504" t="s">
        <v>291</v>
      </c>
      <c r="C15" s="34">
        <f>Immo!C27*1.196</f>
        <v>68291.599999999991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>
        <f>Immo!M27*1.196</f>
        <v>31036.199999999997</v>
      </c>
      <c r="P15" s="34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119"/>
    </row>
    <row r="16" spans="1:28" ht="13.2">
      <c r="A16" s="318">
        <v>16</v>
      </c>
      <c r="B16" s="504" t="s">
        <v>292</v>
      </c>
      <c r="C16" s="147">
        <f>(C13+C15)/(1+(19.6/100))</f>
        <v>59740</v>
      </c>
      <c r="D16" s="147">
        <f t="shared" ref="D16:N16" si="5">(D13+D14)/(1+(19.6/100))</f>
        <v>2640</v>
      </c>
      <c r="E16" s="147">
        <f t="shared" si="5"/>
        <v>2640</v>
      </c>
      <c r="F16" s="147">
        <f t="shared" si="5"/>
        <v>3140</v>
      </c>
      <c r="G16" s="147">
        <f t="shared" si="5"/>
        <v>4560</v>
      </c>
      <c r="H16" s="147">
        <f t="shared" si="5"/>
        <v>4560</v>
      </c>
      <c r="I16" s="147">
        <f t="shared" si="5"/>
        <v>26780</v>
      </c>
      <c r="J16" s="147">
        <f t="shared" si="5"/>
        <v>26780</v>
      </c>
      <c r="K16" s="147">
        <f t="shared" si="5"/>
        <v>26780</v>
      </c>
      <c r="L16" s="147">
        <f t="shared" si="5"/>
        <v>26780</v>
      </c>
      <c r="M16" s="147">
        <f t="shared" si="5"/>
        <v>26780</v>
      </c>
      <c r="N16" s="147">
        <f t="shared" si="5"/>
        <v>26780</v>
      </c>
      <c r="O16" s="147">
        <f>SUM(O13:O15)/1.196</f>
        <v>54090</v>
      </c>
      <c r="P16" s="147">
        <f t="shared" ref="P16:AB16" si="6">SUM(P13:P15)/1.196</f>
        <v>28840</v>
      </c>
      <c r="Q16" s="147">
        <f t="shared" si="6"/>
        <v>28840</v>
      </c>
      <c r="R16" s="147">
        <f t="shared" si="6"/>
        <v>28840</v>
      </c>
      <c r="S16" s="147">
        <f t="shared" si="6"/>
        <v>29440</v>
      </c>
      <c r="T16" s="147">
        <f t="shared" si="6"/>
        <v>30400.000000000004</v>
      </c>
      <c r="U16" s="147">
        <f t="shared" si="6"/>
        <v>69120</v>
      </c>
      <c r="V16" s="147">
        <f t="shared" si="6"/>
        <v>30400.000000000004</v>
      </c>
      <c r="W16" s="147">
        <f t="shared" si="6"/>
        <v>69120</v>
      </c>
      <c r="X16" s="147">
        <f t="shared" si="6"/>
        <v>30400.000000000004</v>
      </c>
      <c r="Y16" s="147">
        <f t="shared" si="6"/>
        <v>69120</v>
      </c>
      <c r="Z16" s="147">
        <f t="shared" si="6"/>
        <v>30400.000000000004</v>
      </c>
      <c r="AA16" s="147">
        <f t="shared" si="6"/>
        <v>21920</v>
      </c>
      <c r="AB16" s="147">
        <f t="shared" si="6"/>
        <v>21920</v>
      </c>
    </row>
    <row r="17" spans="1:28" ht="13.2">
      <c r="A17" s="318">
        <v>17</v>
      </c>
      <c r="B17" s="504" t="s">
        <v>293</v>
      </c>
      <c r="C17" s="147">
        <f t="shared" ref="C17:AB17" si="7">C16*(19.6/100)</f>
        <v>11709.04</v>
      </c>
      <c r="D17" s="147">
        <f t="shared" si="7"/>
        <v>517.44000000000005</v>
      </c>
      <c r="E17" s="147">
        <f t="shared" si="7"/>
        <v>517.44000000000005</v>
      </c>
      <c r="F17" s="147">
        <f t="shared" si="7"/>
        <v>615.44000000000005</v>
      </c>
      <c r="G17" s="147">
        <f t="shared" si="7"/>
        <v>893.76</v>
      </c>
      <c r="H17" s="147">
        <f t="shared" si="7"/>
        <v>893.76</v>
      </c>
      <c r="I17" s="147">
        <f t="shared" si="7"/>
        <v>5248.88</v>
      </c>
      <c r="J17" s="147">
        <f t="shared" si="7"/>
        <v>5248.88</v>
      </c>
      <c r="K17" s="147">
        <f t="shared" si="7"/>
        <v>5248.88</v>
      </c>
      <c r="L17" s="147">
        <f t="shared" si="7"/>
        <v>5248.88</v>
      </c>
      <c r="M17" s="147">
        <f t="shared" si="7"/>
        <v>5248.88</v>
      </c>
      <c r="N17" s="147">
        <f t="shared" si="7"/>
        <v>5248.88</v>
      </c>
      <c r="O17" s="147">
        <f t="shared" si="7"/>
        <v>10601.640000000001</v>
      </c>
      <c r="P17" s="147">
        <f t="shared" si="7"/>
        <v>5652.64</v>
      </c>
      <c r="Q17" s="147">
        <f t="shared" si="7"/>
        <v>5652.64</v>
      </c>
      <c r="R17" s="147">
        <f t="shared" si="7"/>
        <v>5652.64</v>
      </c>
      <c r="S17" s="147">
        <f t="shared" si="7"/>
        <v>5770.24</v>
      </c>
      <c r="T17" s="147">
        <f t="shared" si="7"/>
        <v>5958.4000000000005</v>
      </c>
      <c r="U17" s="147">
        <f t="shared" si="7"/>
        <v>13547.52</v>
      </c>
      <c r="V17" s="147">
        <f>V16*(19.6/100)</f>
        <v>5958.4000000000005</v>
      </c>
      <c r="W17" s="147">
        <f t="shared" si="7"/>
        <v>13547.52</v>
      </c>
      <c r="X17" s="147">
        <f t="shared" si="7"/>
        <v>5958.4000000000005</v>
      </c>
      <c r="Y17" s="147">
        <f t="shared" si="7"/>
        <v>13547.52</v>
      </c>
      <c r="Z17" s="147">
        <f t="shared" si="7"/>
        <v>5958.4000000000005</v>
      </c>
      <c r="AA17" s="147">
        <f t="shared" si="7"/>
        <v>4296.3200000000006</v>
      </c>
      <c r="AB17" s="147">
        <f t="shared" si="7"/>
        <v>4296.3200000000006</v>
      </c>
    </row>
    <row r="18" spans="1:28" ht="13.2">
      <c r="A18" s="318">
        <v>18</v>
      </c>
      <c r="B18" s="504" t="s">
        <v>294</v>
      </c>
      <c r="C18" s="147"/>
      <c r="D18" s="147">
        <f t="shared" ref="D18:AB18" si="8">C17</f>
        <v>11709.04</v>
      </c>
      <c r="E18" s="147">
        <f t="shared" si="8"/>
        <v>517.44000000000005</v>
      </c>
      <c r="F18" s="147">
        <f t="shared" si="8"/>
        <v>517.44000000000005</v>
      </c>
      <c r="G18" s="147">
        <f t="shared" si="8"/>
        <v>615.44000000000005</v>
      </c>
      <c r="H18" s="147">
        <f t="shared" si="8"/>
        <v>893.76</v>
      </c>
      <c r="I18" s="147">
        <f t="shared" si="8"/>
        <v>893.76</v>
      </c>
      <c r="J18" s="147">
        <f t="shared" si="8"/>
        <v>5248.88</v>
      </c>
      <c r="K18" s="147">
        <f t="shared" si="8"/>
        <v>5248.88</v>
      </c>
      <c r="L18" s="147">
        <f t="shared" si="8"/>
        <v>5248.88</v>
      </c>
      <c r="M18" s="147">
        <f t="shared" si="8"/>
        <v>5248.88</v>
      </c>
      <c r="N18" s="147">
        <f t="shared" si="8"/>
        <v>5248.88</v>
      </c>
      <c r="O18" s="147">
        <f t="shared" si="8"/>
        <v>5248.88</v>
      </c>
      <c r="P18" s="147">
        <f t="shared" si="8"/>
        <v>10601.640000000001</v>
      </c>
      <c r="Q18" s="147">
        <f t="shared" si="8"/>
        <v>5652.64</v>
      </c>
      <c r="R18" s="147">
        <f t="shared" si="8"/>
        <v>5652.64</v>
      </c>
      <c r="S18" s="147">
        <f t="shared" si="8"/>
        <v>5652.64</v>
      </c>
      <c r="T18" s="147">
        <f t="shared" si="8"/>
        <v>5770.24</v>
      </c>
      <c r="U18" s="147">
        <f t="shared" si="8"/>
        <v>5958.4000000000005</v>
      </c>
      <c r="V18" s="147">
        <f t="shared" si="8"/>
        <v>13547.52</v>
      </c>
      <c r="W18" s="147">
        <f t="shared" si="8"/>
        <v>5958.4000000000005</v>
      </c>
      <c r="X18" s="147">
        <f t="shared" si="8"/>
        <v>13547.52</v>
      </c>
      <c r="Y18" s="147">
        <f t="shared" si="8"/>
        <v>5958.4000000000005</v>
      </c>
      <c r="Z18" s="147">
        <f t="shared" si="8"/>
        <v>13547.52</v>
      </c>
      <c r="AA18" s="147">
        <f t="shared" si="8"/>
        <v>5958.4000000000005</v>
      </c>
      <c r="AB18" s="147">
        <f t="shared" si="8"/>
        <v>4296.3200000000006</v>
      </c>
    </row>
    <row r="19" spans="1:28" ht="13.5" customHeight="1">
      <c r="A19" s="318">
        <v>19</v>
      </c>
      <c r="B19" s="504" t="s">
        <v>295</v>
      </c>
      <c r="C19" s="147"/>
      <c r="D19" s="147">
        <f t="shared" ref="D19:AB19" si="9">IF((C22=0),(D18+C19),D18)</f>
        <v>11709.04</v>
      </c>
      <c r="E19" s="147">
        <f t="shared" si="9"/>
        <v>12226.480000000001</v>
      </c>
      <c r="F19" s="147">
        <f t="shared" si="9"/>
        <v>12743.920000000002</v>
      </c>
      <c r="G19" s="147">
        <f t="shared" si="9"/>
        <v>13359.360000000002</v>
      </c>
      <c r="H19" s="147">
        <f t="shared" si="9"/>
        <v>14253.120000000003</v>
      </c>
      <c r="I19" s="147">
        <f t="shared" si="9"/>
        <v>15146.880000000003</v>
      </c>
      <c r="J19" s="147">
        <f t="shared" si="9"/>
        <v>20395.760000000002</v>
      </c>
      <c r="K19" s="147">
        <f t="shared" si="9"/>
        <v>5248.88</v>
      </c>
      <c r="L19" s="147">
        <f t="shared" si="9"/>
        <v>5248.88</v>
      </c>
      <c r="M19" s="147">
        <f t="shared" si="9"/>
        <v>5248.88</v>
      </c>
      <c r="N19" s="147">
        <f t="shared" si="9"/>
        <v>5248.88</v>
      </c>
      <c r="O19" s="147">
        <f t="shared" si="9"/>
        <v>5248.88</v>
      </c>
      <c r="P19" s="147">
        <f t="shared" si="9"/>
        <v>10601.640000000001</v>
      </c>
      <c r="Q19" s="147">
        <f t="shared" si="9"/>
        <v>5652.64</v>
      </c>
      <c r="R19" s="147">
        <f t="shared" si="9"/>
        <v>5652.64</v>
      </c>
      <c r="S19" s="147">
        <f t="shared" si="9"/>
        <v>5652.64</v>
      </c>
      <c r="T19" s="147">
        <f t="shared" si="9"/>
        <v>5770.24</v>
      </c>
      <c r="U19" s="147">
        <f t="shared" si="9"/>
        <v>5958.4000000000005</v>
      </c>
      <c r="V19" s="147">
        <f t="shared" si="9"/>
        <v>13547.52</v>
      </c>
      <c r="W19" s="147">
        <f t="shared" si="9"/>
        <v>5958.4000000000005</v>
      </c>
      <c r="X19" s="147">
        <f t="shared" si="9"/>
        <v>13547.52</v>
      </c>
      <c r="Y19" s="147">
        <f t="shared" si="9"/>
        <v>5958.4000000000005</v>
      </c>
      <c r="Z19" s="147">
        <f t="shared" si="9"/>
        <v>13547.52</v>
      </c>
      <c r="AA19" s="147">
        <f t="shared" si="9"/>
        <v>5958.4000000000005</v>
      </c>
      <c r="AB19" s="147">
        <f t="shared" si="9"/>
        <v>10254.720000000001</v>
      </c>
    </row>
    <row r="20" spans="1:28" ht="13.5" customHeight="1">
      <c r="A20" s="318">
        <v>20</v>
      </c>
      <c r="B20" s="360" t="s">
        <v>296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119"/>
      <c r="N20" s="265">
        <f>N19</f>
        <v>5248.88</v>
      </c>
      <c r="O20" s="139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413">
        <f>Z19</f>
        <v>13547.52</v>
      </c>
      <c r="AA20" s="253"/>
      <c r="AB20" s="119"/>
    </row>
    <row r="21" spans="1:28" ht="13.2">
      <c r="A21" s="318">
        <v>21</v>
      </c>
      <c r="B21" s="190" t="s">
        <v>297</v>
      </c>
      <c r="C21" s="253"/>
      <c r="D21" s="147">
        <f t="shared" ref="D21:AB21" si="10">D9-D19</f>
        <v>-11709.04</v>
      </c>
      <c r="E21" s="147">
        <f t="shared" si="10"/>
        <v>-12226.480000000001</v>
      </c>
      <c r="F21" s="147">
        <f t="shared" si="10"/>
        <v>-12743.920000000002</v>
      </c>
      <c r="G21" s="147">
        <f t="shared" si="10"/>
        <v>-11399.360000000002</v>
      </c>
      <c r="H21" s="147">
        <f t="shared" si="10"/>
        <v>-10333.120000000003</v>
      </c>
      <c r="I21" s="147">
        <f t="shared" si="10"/>
        <v>-1426.8800000000028</v>
      </c>
      <c r="J21" s="147">
        <f t="shared" si="10"/>
        <v>3124.239999999998</v>
      </c>
      <c r="K21" s="147">
        <f t="shared" si="10"/>
        <v>14351.119999999999</v>
      </c>
      <c r="L21" s="147">
        <f t="shared" si="10"/>
        <v>14351.119999999999</v>
      </c>
      <c r="M21" s="147">
        <f t="shared" si="10"/>
        <v>14351.119999999999</v>
      </c>
      <c r="N21" s="53">
        <f t="shared" si="10"/>
        <v>14351.119999999999</v>
      </c>
      <c r="O21" s="147">
        <f>O9-O19</f>
        <v>14351.119999999999</v>
      </c>
      <c r="P21" s="147">
        <f t="shared" si="10"/>
        <v>8998.3599999999988</v>
      </c>
      <c r="Q21" s="147">
        <f t="shared" si="10"/>
        <v>13555.36</v>
      </c>
      <c r="R21" s="147">
        <f t="shared" si="10"/>
        <v>15907.36</v>
      </c>
      <c r="S21" s="147">
        <f t="shared" si="10"/>
        <v>11987.36</v>
      </c>
      <c r="T21" s="147">
        <f t="shared" si="10"/>
        <v>14221.76</v>
      </c>
      <c r="U21" s="147">
        <f t="shared" si="10"/>
        <v>19129.599999999999</v>
      </c>
      <c r="V21" s="147">
        <f t="shared" si="10"/>
        <v>4484.4799999999996</v>
      </c>
      <c r="W21" s="147">
        <f t="shared" si="10"/>
        <v>30889.599999999999</v>
      </c>
      <c r="X21" s="147">
        <f t="shared" si="10"/>
        <v>4484.4799999999996</v>
      </c>
      <c r="Y21" s="147">
        <f t="shared" si="10"/>
        <v>30889.599999999999</v>
      </c>
      <c r="Z21" s="147">
        <f t="shared" si="10"/>
        <v>4484.4799999999996</v>
      </c>
      <c r="AA21" s="147">
        <f t="shared" si="10"/>
        <v>30889.599999999999</v>
      </c>
      <c r="AB21" s="147">
        <f t="shared" si="10"/>
        <v>44625.279999999999</v>
      </c>
    </row>
    <row r="22" spans="1:28" ht="13.5" customHeight="1">
      <c r="A22" s="318">
        <v>22</v>
      </c>
      <c r="B22" s="331" t="s">
        <v>298</v>
      </c>
      <c r="C22" s="233">
        <v>0</v>
      </c>
      <c r="D22" s="233">
        <f t="shared" ref="D22:Z22" si="11">IF((D21&gt;0),D21,0)</f>
        <v>0</v>
      </c>
      <c r="E22" s="233">
        <f t="shared" si="11"/>
        <v>0</v>
      </c>
      <c r="F22" s="233">
        <f t="shared" si="11"/>
        <v>0</v>
      </c>
      <c r="G22" s="233">
        <f t="shared" si="11"/>
        <v>0</v>
      </c>
      <c r="H22" s="233">
        <f t="shared" si="11"/>
        <v>0</v>
      </c>
      <c r="I22" s="233">
        <f t="shared" si="11"/>
        <v>0</v>
      </c>
      <c r="J22" s="233">
        <f t="shared" si="11"/>
        <v>3124.239999999998</v>
      </c>
      <c r="K22" s="233">
        <f t="shared" si="11"/>
        <v>14351.119999999999</v>
      </c>
      <c r="L22" s="233">
        <f t="shared" si="11"/>
        <v>14351.119999999999</v>
      </c>
      <c r="M22" s="233">
        <f t="shared" si="11"/>
        <v>14351.119999999999</v>
      </c>
      <c r="N22" s="233">
        <f t="shared" si="11"/>
        <v>14351.119999999999</v>
      </c>
      <c r="O22" s="233">
        <f t="shared" si="11"/>
        <v>14351.119999999999</v>
      </c>
      <c r="P22" s="233">
        <f t="shared" si="11"/>
        <v>8998.3599999999988</v>
      </c>
      <c r="Q22" s="233">
        <f t="shared" si="11"/>
        <v>13555.36</v>
      </c>
      <c r="R22" s="233">
        <f t="shared" si="11"/>
        <v>15907.36</v>
      </c>
      <c r="S22" s="233">
        <f t="shared" si="11"/>
        <v>11987.36</v>
      </c>
      <c r="T22" s="233">
        <f t="shared" si="11"/>
        <v>14221.76</v>
      </c>
      <c r="U22" s="233">
        <f t="shared" si="11"/>
        <v>19129.599999999999</v>
      </c>
      <c r="V22" s="233">
        <f t="shared" si="11"/>
        <v>4484.4799999999996</v>
      </c>
      <c r="W22" s="233">
        <f t="shared" si="11"/>
        <v>30889.599999999999</v>
      </c>
      <c r="X22" s="233">
        <f t="shared" si="11"/>
        <v>4484.4799999999996</v>
      </c>
      <c r="Y22" s="233">
        <f t="shared" si="11"/>
        <v>30889.599999999999</v>
      </c>
      <c r="Z22" s="233">
        <f t="shared" si="11"/>
        <v>4484.4799999999996</v>
      </c>
      <c r="AA22" s="233"/>
      <c r="AB22" s="233"/>
    </row>
  </sheetData>
  <mergeCells count="1">
    <mergeCell ref="B2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78"/>
  <sheetViews>
    <sheetView workbookViewId="0">
      <selection activeCell="W16" sqref="W16"/>
    </sheetView>
  </sheetViews>
  <sheetFormatPr baseColWidth="10" defaultColWidth="10.6640625" defaultRowHeight="12.75" customHeight="1"/>
  <cols>
    <col min="1" max="1" width="47.6640625" customWidth="1"/>
    <col min="2" max="3" width="8.33203125" customWidth="1"/>
    <col min="4" max="4" width="8" customWidth="1"/>
    <col min="5" max="5" width="8.109375" customWidth="1"/>
    <col min="6" max="7" width="8.88671875" customWidth="1"/>
    <col min="8" max="11" width="9" customWidth="1"/>
    <col min="12" max="13" width="8.88671875" customWidth="1"/>
    <col min="14" max="14" width="9.6640625" style="78" customWidth="1"/>
    <col min="15" max="23" width="8.88671875" customWidth="1"/>
    <col min="24" max="25" width="9.6640625" customWidth="1"/>
    <col min="26" max="26" width="9.6640625" style="78" customWidth="1"/>
    <col min="27" max="28" width="9.109375" customWidth="1"/>
  </cols>
  <sheetData>
    <row r="1" spans="1:28" ht="13.2">
      <c r="A1" s="326"/>
      <c r="B1" s="173" t="s">
        <v>299</v>
      </c>
      <c r="C1" s="543" t="s">
        <v>175</v>
      </c>
      <c r="D1" s="543" t="s">
        <v>176</v>
      </c>
      <c r="E1" s="543" t="s">
        <v>15</v>
      </c>
      <c r="F1" s="543" t="s">
        <v>177</v>
      </c>
      <c r="G1" s="543" t="s">
        <v>19</v>
      </c>
      <c r="H1" s="543" t="s">
        <v>20</v>
      </c>
      <c r="I1" s="543" t="s">
        <v>178</v>
      </c>
      <c r="J1" s="543" t="s">
        <v>24</v>
      </c>
      <c r="K1" s="543" t="s">
        <v>179</v>
      </c>
      <c r="L1" s="543" t="s">
        <v>180</v>
      </c>
      <c r="M1" s="543" t="s">
        <v>181</v>
      </c>
      <c r="N1" s="543" t="s">
        <v>182</v>
      </c>
      <c r="O1" s="302" t="s">
        <v>175</v>
      </c>
      <c r="P1" s="302" t="s">
        <v>300</v>
      </c>
      <c r="Q1" s="302" t="s">
        <v>15</v>
      </c>
      <c r="R1" s="302" t="s">
        <v>17</v>
      </c>
      <c r="S1" s="302" t="s">
        <v>19</v>
      </c>
      <c r="T1" s="302" t="s">
        <v>20</v>
      </c>
      <c r="U1" s="302" t="s">
        <v>22</v>
      </c>
      <c r="V1" s="302" t="s">
        <v>24</v>
      </c>
      <c r="W1" s="302" t="s">
        <v>26</v>
      </c>
      <c r="X1" s="302" t="s">
        <v>28</v>
      </c>
      <c r="Y1" s="302" t="s">
        <v>30</v>
      </c>
      <c r="Z1" s="451" t="s">
        <v>32</v>
      </c>
      <c r="AA1" s="543" t="s">
        <v>9</v>
      </c>
      <c r="AB1" s="543" t="s">
        <v>13</v>
      </c>
    </row>
    <row r="2" spans="1:28" ht="13.2">
      <c r="A2" s="326" t="s">
        <v>301</v>
      </c>
      <c r="B2" s="173"/>
      <c r="C2" s="245">
        <v>1</v>
      </c>
      <c r="D2" s="245">
        <v>2</v>
      </c>
      <c r="E2" s="245">
        <v>3</v>
      </c>
      <c r="F2" s="245">
        <v>4</v>
      </c>
      <c r="G2" s="245">
        <v>5</v>
      </c>
      <c r="H2" s="245">
        <v>6</v>
      </c>
      <c r="I2" s="245">
        <v>7</v>
      </c>
      <c r="J2" s="245">
        <v>8</v>
      </c>
      <c r="K2" s="245">
        <v>9</v>
      </c>
      <c r="L2" s="245">
        <v>10</v>
      </c>
      <c r="M2" s="245">
        <v>11</v>
      </c>
      <c r="N2" s="245">
        <v>12</v>
      </c>
      <c r="O2" s="231">
        <v>13</v>
      </c>
      <c r="P2" s="245">
        <v>14</v>
      </c>
      <c r="Q2" s="245">
        <v>15</v>
      </c>
      <c r="R2" s="245">
        <v>16</v>
      </c>
      <c r="S2" s="245">
        <v>17</v>
      </c>
      <c r="T2" s="245">
        <v>18</v>
      </c>
      <c r="U2" s="245">
        <v>19</v>
      </c>
      <c r="V2" s="245">
        <v>20</v>
      </c>
      <c r="W2" s="245">
        <v>21</v>
      </c>
      <c r="X2" s="245">
        <v>22</v>
      </c>
      <c r="Y2" s="245">
        <v>23</v>
      </c>
      <c r="Z2" s="245">
        <v>24</v>
      </c>
      <c r="AA2" s="231">
        <v>25</v>
      </c>
      <c r="AB2" s="245">
        <v>26</v>
      </c>
    </row>
    <row r="3" spans="1:28" ht="13.2">
      <c r="A3" s="263" t="s">
        <v>302</v>
      </c>
      <c r="B3" s="263"/>
      <c r="C3" s="90">
        <v>0</v>
      </c>
      <c r="D3" s="374">
        <f t="shared" ref="D3:AB3" si="0">C3+C57</f>
        <v>3287.948703750842</v>
      </c>
      <c r="E3" s="374">
        <f t="shared" si="0"/>
        <v>-22732.502592498331</v>
      </c>
      <c r="F3" s="374">
        <f t="shared" si="0"/>
        <v>-48752.953888747506</v>
      </c>
      <c r="G3" s="374">
        <f t="shared" si="0"/>
        <v>-66300.84270660083</v>
      </c>
      <c r="H3" s="374">
        <f t="shared" si="0"/>
        <v>-94681.888618589568</v>
      </c>
      <c r="I3" s="374">
        <f t="shared" si="0"/>
        <v>-78919.166937393748</v>
      </c>
      <c r="J3" s="374">
        <f t="shared" si="0"/>
        <v>-67371.753972131162</v>
      </c>
      <c r="K3" s="374">
        <f t="shared" si="0"/>
        <v>-25983.544992858617</v>
      </c>
      <c r="L3" s="374">
        <f t="shared" si="0"/>
        <v>4274.0124277911164</v>
      </c>
      <c r="M3" s="374">
        <f t="shared" si="0"/>
        <v>34876.471589934794</v>
      </c>
      <c r="N3" s="374">
        <f t="shared" si="0"/>
        <v>65695.460293685624</v>
      </c>
      <c r="O3" s="112">
        <f t="shared" si="0"/>
        <v>96514.448997436455</v>
      </c>
      <c r="P3" s="374">
        <f>O3+O57</f>
        <v>87326.677701187291</v>
      </c>
      <c r="Q3" s="374">
        <f t="shared" si="0"/>
        <v>104118.66640493811</v>
      </c>
      <c r="R3" s="374">
        <f t="shared" si="0"/>
        <v>128955.65510868892</v>
      </c>
      <c r="S3" s="374">
        <f t="shared" si="0"/>
        <v>127520.64381243974</v>
      </c>
      <c r="T3" s="374">
        <f t="shared" si="0"/>
        <v>140400.03251619055</v>
      </c>
      <c r="U3" s="374">
        <f t="shared" si="0"/>
        <v>174308.86121994138</v>
      </c>
      <c r="V3" s="374">
        <f t="shared" si="0"/>
        <v>155853.84992369221</v>
      </c>
      <c r="W3" s="374">
        <f t="shared" si="0"/>
        <v>222550.83862744307</v>
      </c>
      <c r="X3" s="374">
        <f t="shared" si="0"/>
        <v>192335.8273311939</v>
      </c>
      <c r="Y3" s="374">
        <f t="shared" si="0"/>
        <v>259032.81603494473</v>
      </c>
      <c r="Z3" s="374">
        <f>Y3+Y57</f>
        <v>228817.80473869556</v>
      </c>
      <c r="AA3" s="112">
        <f>Z3+Z57</f>
        <v>295514.79344244639</v>
      </c>
      <c r="AB3" s="374">
        <f t="shared" si="0"/>
        <v>354123.46214619721</v>
      </c>
    </row>
    <row r="4" spans="1:28" ht="13.2">
      <c r="A4" s="539" t="s">
        <v>303</v>
      </c>
      <c r="B4" s="244"/>
      <c r="C4" s="245">
        <v>0</v>
      </c>
      <c r="D4" s="245">
        <f>IF(('Prod,Fact,Encaisse'!G9="Fin"),1,0)</f>
        <v>0</v>
      </c>
      <c r="E4" s="289">
        <v>0</v>
      </c>
      <c r="F4" s="289">
        <v>0</v>
      </c>
      <c r="G4" s="226">
        <v>0</v>
      </c>
      <c r="H4" s="226">
        <v>0</v>
      </c>
      <c r="I4" s="226">
        <v>1</v>
      </c>
      <c r="J4" s="226">
        <v>1</v>
      </c>
      <c r="K4" s="226">
        <v>1</v>
      </c>
      <c r="L4" s="226">
        <v>1</v>
      </c>
      <c r="M4" s="226">
        <v>1</v>
      </c>
      <c r="N4" s="226">
        <v>1</v>
      </c>
      <c r="O4" s="309">
        <v>1</v>
      </c>
      <c r="P4" s="226">
        <v>1</v>
      </c>
      <c r="Q4" s="226">
        <v>1</v>
      </c>
      <c r="R4" s="226">
        <v>1</v>
      </c>
      <c r="S4" s="226">
        <v>1</v>
      </c>
      <c r="T4" s="226">
        <v>1</v>
      </c>
      <c r="U4" s="226">
        <v>1</v>
      </c>
      <c r="V4" s="226">
        <v>1</v>
      </c>
      <c r="W4" s="226">
        <v>1</v>
      </c>
      <c r="X4" s="226">
        <v>1</v>
      </c>
      <c r="Y4" s="226">
        <v>1</v>
      </c>
      <c r="Z4" s="226">
        <v>1</v>
      </c>
      <c r="AA4" s="309">
        <v>1</v>
      </c>
      <c r="AB4" s="226">
        <v>1</v>
      </c>
    </row>
    <row r="5" spans="1:28" ht="14.25" customHeight="1">
      <c r="A5" s="540" t="s">
        <v>304</v>
      </c>
      <c r="B5" s="48"/>
      <c r="C5" s="138">
        <v>0</v>
      </c>
      <c r="D5" s="138">
        <v>0</v>
      </c>
      <c r="E5" s="138">
        <v>0</v>
      </c>
      <c r="F5" s="138">
        <v>0</v>
      </c>
      <c r="G5" s="138">
        <v>0</v>
      </c>
      <c r="H5" s="138">
        <v>0</v>
      </c>
      <c r="I5" s="138">
        <v>0</v>
      </c>
      <c r="J5" s="138">
        <v>0</v>
      </c>
      <c r="K5" s="138">
        <v>0</v>
      </c>
      <c r="L5" s="138">
        <v>0</v>
      </c>
      <c r="M5" s="138">
        <v>0</v>
      </c>
      <c r="N5" s="138">
        <v>0</v>
      </c>
      <c r="O5" s="381">
        <v>0</v>
      </c>
      <c r="P5" s="304">
        <v>0</v>
      </c>
      <c r="Q5" s="304">
        <v>0</v>
      </c>
      <c r="R5" s="304">
        <v>0</v>
      </c>
      <c r="S5" s="304">
        <v>0</v>
      </c>
      <c r="T5" s="304">
        <v>0</v>
      </c>
      <c r="U5" s="304">
        <v>1</v>
      </c>
      <c r="V5" s="304">
        <v>0</v>
      </c>
      <c r="W5" s="304">
        <v>1</v>
      </c>
      <c r="X5" s="304">
        <v>0</v>
      </c>
      <c r="Y5" s="304">
        <v>1</v>
      </c>
      <c r="Z5" s="304">
        <v>0</v>
      </c>
      <c r="AA5" s="381">
        <v>1</v>
      </c>
      <c r="AB5" s="304">
        <v>0</v>
      </c>
    </row>
    <row r="6" spans="1:28" ht="14.25" customHeight="1">
      <c r="A6" s="541" t="s">
        <v>305</v>
      </c>
      <c r="B6" s="181"/>
      <c r="C6" s="43">
        <f>'Prod,Fact,Encaisse'!D39</f>
        <v>0</v>
      </c>
      <c r="D6" s="43">
        <f>'Prod,Fact,Encaisse'!E39</f>
        <v>0</v>
      </c>
      <c r="E6" s="43">
        <f>'Prod,Fact,Encaisse'!F39</f>
        <v>11960</v>
      </c>
      <c r="F6" s="43">
        <f>'Prod,Fact,Encaisse'!G39</f>
        <v>11960</v>
      </c>
      <c r="G6" s="43">
        <f>'Prod,Fact,Encaisse'!H39</f>
        <v>59800</v>
      </c>
      <c r="H6" s="43">
        <f>'Prod,Fact,Encaisse'!I39</f>
        <v>59800</v>
      </c>
      <c r="I6" s="43">
        <f>'Prod,Fact,Encaisse'!J39</f>
        <v>119600</v>
      </c>
      <c r="J6" s="43">
        <f>'Prod,Fact,Encaisse'!K39</f>
        <v>119600</v>
      </c>
      <c r="K6" s="43">
        <f>'Prod,Fact,Encaisse'!L39</f>
        <v>119600</v>
      </c>
      <c r="L6" s="43">
        <f>'Prod,Fact,Encaisse'!M39</f>
        <v>119600</v>
      </c>
      <c r="M6" s="43">
        <f>'Prod,Fact,Encaisse'!N39</f>
        <v>119600</v>
      </c>
      <c r="N6" s="43">
        <f>'Prod,Fact,Encaisse'!O39</f>
        <v>119600</v>
      </c>
      <c r="O6" s="141">
        <f>'Prod,Fact,Encaisse'!P39+'Prod,Fact,Encaisse'!P78</f>
        <v>117208</v>
      </c>
      <c r="P6" s="450">
        <f>'Prod,Fact,Encaisse'!Q39+'Prod,Fact,Encaisse'!Q78</f>
        <v>131560</v>
      </c>
      <c r="Q6" s="450">
        <f>'Prod,Fact,Encaisse'!R39+'Prod,Fact,Encaisse'!R78</f>
        <v>107640</v>
      </c>
      <c r="R6" s="450">
        <f>'Prod,Fact,Encaisse'!S39+'Prod,Fact,Encaisse'!S78</f>
        <v>121992</v>
      </c>
      <c r="S6" s="450">
        <f>'Prod,Fact,Encaisse'!T39+'Prod,Fact,Encaisse'!T78</f>
        <v>153088</v>
      </c>
      <c r="T6" s="450">
        <f>'Prod,Fact,Encaisse'!U39+'Prod,Fact,Encaisse'!U78</f>
        <v>110032</v>
      </c>
      <c r="U6" s="450">
        <f>'Prod,Fact,Encaisse'!V39+'Prod,Fact,Encaisse'!V78</f>
        <v>224848</v>
      </c>
      <c r="V6" s="450">
        <f>'Prod,Fact,Encaisse'!W39+'Prod,Fact,Encaisse'!W78</f>
        <v>110032</v>
      </c>
      <c r="W6" s="450">
        <f>'Prod,Fact,Encaisse'!X39+'Prod,Fact,Encaisse'!X78</f>
        <v>224848</v>
      </c>
      <c r="X6" s="450">
        <f>'Prod,Fact,Encaisse'!Y39+'Prod,Fact,Encaisse'!Y78</f>
        <v>110032</v>
      </c>
      <c r="Y6" s="450">
        <f>'Prod,Fact,Encaisse'!Z39+'Prod,Fact,Encaisse'!Z78</f>
        <v>224848</v>
      </c>
      <c r="Z6" s="450">
        <f>'Prod,Fact,Encaisse'!AA39+'Prod,Fact,Encaisse'!AA78</f>
        <v>110032</v>
      </c>
      <c r="AA6" s="141">
        <f>'Prod,Fact,Encaisse'!AB39+'Prod,Fact,Encaisse'!AB78</f>
        <v>215280</v>
      </c>
      <c r="AB6" s="43">
        <f>'Prod,Fact,Encaisse'!AC80</f>
        <v>86112</v>
      </c>
    </row>
    <row r="7" spans="1:28" ht="15" customHeight="1">
      <c r="A7" s="81" t="s">
        <v>306</v>
      </c>
      <c r="B7" s="437">
        <f>'Tableau simu'!B23</f>
        <v>30</v>
      </c>
      <c r="C7" s="43">
        <f>'Prod,Fact,Encaisse'!D40</f>
        <v>0</v>
      </c>
      <c r="D7" s="43">
        <f>'Prod,Fact,Encaisse'!E40</f>
        <v>0</v>
      </c>
      <c r="E7" s="43">
        <f>'Prod,Fact,Encaisse'!F40</f>
        <v>0</v>
      </c>
      <c r="F7" s="43">
        <f>'Prod,Fact,Encaisse'!G40</f>
        <v>11960</v>
      </c>
      <c r="G7" s="43">
        <f>'Prod,Fact,Encaisse'!H40</f>
        <v>11960</v>
      </c>
      <c r="H7" s="43">
        <f>'Prod,Fact,Encaisse'!I40</f>
        <v>59800</v>
      </c>
      <c r="I7" s="43">
        <f>'Prod,Fact,Encaisse'!J40</f>
        <v>59800</v>
      </c>
      <c r="J7" s="43">
        <f>'Prod,Fact,Encaisse'!K40</f>
        <v>119600</v>
      </c>
      <c r="K7" s="43">
        <f>'Prod,Fact,Encaisse'!L40</f>
        <v>119600</v>
      </c>
      <c r="L7" s="43">
        <f>'Prod,Fact,Encaisse'!M40</f>
        <v>119600</v>
      </c>
      <c r="M7" s="43">
        <f>'Prod,Fact,Encaisse'!N40</f>
        <v>119600</v>
      </c>
      <c r="N7" s="43">
        <f>'Prod,Fact,Encaisse'!O40</f>
        <v>119600</v>
      </c>
      <c r="O7" s="141">
        <f>'Prod,Fact,Encaisse'!P40+'Prod,Fact,Encaisse'!P79</f>
        <v>119600</v>
      </c>
      <c r="P7" s="450">
        <f>'Prod,Fact,Encaisse'!Q40+'Prod,Fact,Encaisse'!Q79</f>
        <v>117208</v>
      </c>
      <c r="Q7" s="450">
        <f>'Prod,Fact,Encaisse'!R40+'Prod,Fact,Encaisse'!R79</f>
        <v>131560</v>
      </c>
      <c r="R7" s="450">
        <f>'Prod,Fact,Encaisse'!S40+'Prod,Fact,Encaisse'!S79</f>
        <v>107640</v>
      </c>
      <c r="S7" s="450">
        <f>'Prod,Fact,Encaisse'!T40+'Prod,Fact,Encaisse'!T79</f>
        <v>121992</v>
      </c>
      <c r="T7" s="450">
        <f>'Prod,Fact,Encaisse'!U40+'Prod,Fact,Encaisse'!U79</f>
        <v>153088</v>
      </c>
      <c r="U7" s="450">
        <f>'Prod,Fact,Encaisse'!V40+'Prod,Fact,Encaisse'!V79</f>
        <v>110032</v>
      </c>
      <c r="V7" s="450">
        <f>'Prod,Fact,Encaisse'!W40+'Prod,Fact,Encaisse'!W79</f>
        <v>224848</v>
      </c>
      <c r="W7" s="450">
        <f>'Prod,Fact,Encaisse'!X40+'Prod,Fact,Encaisse'!X79</f>
        <v>110032</v>
      </c>
      <c r="X7" s="450">
        <f>'Prod,Fact,Encaisse'!Y40+'Prod,Fact,Encaisse'!Y79</f>
        <v>224848</v>
      </c>
      <c r="Y7" s="450">
        <f>'Prod,Fact,Encaisse'!Z40+'Prod,Fact,Encaisse'!Z79</f>
        <v>110032</v>
      </c>
      <c r="Z7" s="450">
        <f>'Prod,Fact,Encaisse'!AA40+'Prod,Fact,Encaisse'!AA79</f>
        <v>224848</v>
      </c>
      <c r="AA7" s="141">
        <f>'Prod,Fact,Encaisse'!AB40+'Prod,Fact,Encaisse'!AB79</f>
        <v>110032</v>
      </c>
      <c r="AB7" s="43">
        <f>AA6</f>
        <v>215280</v>
      </c>
    </row>
    <row r="8" spans="1:28" ht="13.2">
      <c r="A8" s="263" t="s">
        <v>307</v>
      </c>
      <c r="B8" s="17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03"/>
      <c r="P8" s="244"/>
      <c r="Q8" s="244"/>
      <c r="R8" s="244"/>
      <c r="S8" s="244"/>
      <c r="T8" s="244"/>
      <c r="U8" s="244"/>
      <c r="V8" s="244"/>
      <c r="W8" s="244"/>
      <c r="X8" s="244"/>
      <c r="Y8" s="244"/>
      <c r="Z8" s="244"/>
      <c r="AA8" s="110"/>
      <c r="AB8" s="244"/>
    </row>
    <row r="9" spans="1:28" ht="13.2">
      <c r="A9" s="531" t="s">
        <v>308</v>
      </c>
      <c r="B9" s="181">
        <f>('Budget, PV contrat'!D17)*1.196</f>
        <v>26216.32</v>
      </c>
      <c r="C9" s="43"/>
      <c r="D9" s="43">
        <f t="shared" ref="D9:AB9" si="1">IF((C4=1),$B9,0)</f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26216.32</v>
      </c>
      <c r="K9" s="43">
        <f t="shared" si="1"/>
        <v>26216.32</v>
      </c>
      <c r="L9" s="43">
        <f t="shared" si="1"/>
        <v>26216.32</v>
      </c>
      <c r="M9" s="43">
        <f t="shared" si="1"/>
        <v>26216.32</v>
      </c>
      <c r="N9" s="43">
        <f>IF((M4=1),$B9,0)</f>
        <v>26216.32</v>
      </c>
      <c r="O9" s="141">
        <f t="shared" si="1"/>
        <v>26216.32</v>
      </c>
      <c r="P9" s="43">
        <f>IF((O4=1),$B9,0)</f>
        <v>26216.32</v>
      </c>
      <c r="Q9" s="43">
        <f>IF((P4=1),$B9,0)</f>
        <v>26216.32</v>
      </c>
      <c r="R9" s="43">
        <f>IF((Q4=1),$B9,0)</f>
        <v>26216.32</v>
      </c>
      <c r="S9" s="43">
        <f t="shared" si="1"/>
        <v>26216.32</v>
      </c>
      <c r="T9" s="43">
        <f t="shared" si="1"/>
        <v>26216.32</v>
      </c>
      <c r="U9" s="43">
        <f t="shared" si="1"/>
        <v>26216.32</v>
      </c>
      <c r="V9" s="43">
        <f t="shared" si="1"/>
        <v>26216.32</v>
      </c>
      <c r="W9" s="43">
        <f t="shared" si="1"/>
        <v>26216.32</v>
      </c>
      <c r="X9" s="43">
        <f t="shared" si="1"/>
        <v>26216.32</v>
      </c>
      <c r="Y9" s="43">
        <f t="shared" si="1"/>
        <v>26216.32</v>
      </c>
      <c r="Z9" s="43">
        <f t="shared" si="1"/>
        <v>26216.32</v>
      </c>
      <c r="AA9" s="141">
        <f>IF((Z4=1),$B9,0)</f>
        <v>26216.32</v>
      </c>
      <c r="AB9" s="43">
        <f t="shared" si="1"/>
        <v>26216.32</v>
      </c>
    </row>
    <row r="10" spans="1:28" ht="13.2">
      <c r="A10" s="531" t="s">
        <v>309</v>
      </c>
      <c r="B10" s="181">
        <f>('Budget, PV contrat'!J17)*1.196</f>
        <v>46309.119999999995</v>
      </c>
      <c r="C10" s="43"/>
      <c r="D10" s="43">
        <f t="shared" ref="D10:AB10" si="2">IF((C5=1),$B10,0)</f>
        <v>0</v>
      </c>
      <c r="E10" s="43">
        <f t="shared" si="2"/>
        <v>0</v>
      </c>
      <c r="F10" s="43">
        <f t="shared" si="2"/>
        <v>0</v>
      </c>
      <c r="G10" s="43">
        <f t="shared" si="2"/>
        <v>0</v>
      </c>
      <c r="H10" s="43">
        <f t="shared" si="2"/>
        <v>0</v>
      </c>
      <c r="I10" s="43">
        <f t="shared" si="2"/>
        <v>0</v>
      </c>
      <c r="J10" s="43">
        <f t="shared" si="2"/>
        <v>0</v>
      </c>
      <c r="K10" s="43">
        <f t="shared" si="2"/>
        <v>0</v>
      </c>
      <c r="L10" s="43">
        <f t="shared" si="2"/>
        <v>0</v>
      </c>
      <c r="M10" s="43">
        <f t="shared" si="2"/>
        <v>0</v>
      </c>
      <c r="N10" s="43">
        <f t="shared" si="2"/>
        <v>0</v>
      </c>
      <c r="O10" s="141">
        <f t="shared" si="2"/>
        <v>0</v>
      </c>
      <c r="P10" s="43">
        <f t="shared" si="2"/>
        <v>0</v>
      </c>
      <c r="Q10" s="43">
        <f t="shared" si="2"/>
        <v>0</v>
      </c>
      <c r="R10" s="43">
        <f t="shared" si="2"/>
        <v>0</v>
      </c>
      <c r="S10" s="43">
        <f t="shared" si="2"/>
        <v>0</v>
      </c>
      <c r="T10" s="43">
        <f t="shared" si="2"/>
        <v>0</v>
      </c>
      <c r="U10" s="43">
        <f t="shared" si="2"/>
        <v>0</v>
      </c>
      <c r="V10" s="43">
        <f t="shared" si="2"/>
        <v>46309.119999999995</v>
      </c>
      <c r="W10" s="43">
        <f t="shared" si="2"/>
        <v>0</v>
      </c>
      <c r="X10" s="43">
        <f t="shared" si="2"/>
        <v>46309.119999999995</v>
      </c>
      <c r="Y10" s="43">
        <f t="shared" si="2"/>
        <v>0</v>
      </c>
      <c r="Z10" s="43">
        <f t="shared" si="2"/>
        <v>46309.119999999995</v>
      </c>
      <c r="AA10" s="141">
        <f t="shared" si="2"/>
        <v>0</v>
      </c>
      <c r="AB10" s="43">
        <f t="shared" si="2"/>
        <v>46309.119999999995</v>
      </c>
    </row>
    <row r="11" spans="1:28" ht="13.2">
      <c r="A11" s="531" t="s">
        <v>242</v>
      </c>
      <c r="B11" s="173"/>
      <c r="C11" s="43">
        <f>'Personnel,salaires'!D15</f>
        <v>13200</v>
      </c>
      <c r="D11" s="43">
        <f>'Personnel,salaires'!E15</f>
        <v>13200</v>
      </c>
      <c r="E11" s="43">
        <f>'Personnel,salaires'!F15</f>
        <v>13200</v>
      </c>
      <c r="F11" s="43">
        <f>'Personnel,salaires'!G15</f>
        <v>15700</v>
      </c>
      <c r="G11" s="43">
        <f>'Personnel,salaires'!H15</f>
        <v>22800</v>
      </c>
      <c r="H11" s="43">
        <f>'Personnel,salaires'!I15</f>
        <v>22800</v>
      </c>
      <c r="I11" s="43">
        <f>'Personnel,salaires'!J15</f>
        <v>24300</v>
      </c>
      <c r="J11" s="43">
        <f>'Personnel,salaires'!K15</f>
        <v>24300</v>
      </c>
      <c r="K11" s="43">
        <f>'Personnel,salaires'!L15</f>
        <v>24300</v>
      </c>
      <c r="L11" s="43">
        <f>'Personnel,salaires'!M15</f>
        <v>24300</v>
      </c>
      <c r="M11" s="43">
        <f>'Personnel,salaires'!N15</f>
        <v>24300</v>
      </c>
      <c r="N11" s="43">
        <f>'Personnel,salaires'!O15</f>
        <v>24300</v>
      </c>
      <c r="O11" s="141">
        <f>'Personnel,salaires'!R15</f>
        <v>31100</v>
      </c>
      <c r="P11" s="43">
        <f>'Personnel,salaires'!S15</f>
        <v>34600</v>
      </c>
      <c r="Q11" s="43">
        <f>'Personnel,salaires'!T15</f>
        <v>34600</v>
      </c>
      <c r="R11" s="43">
        <f>'Personnel,salaires'!U15</f>
        <v>34600</v>
      </c>
      <c r="S11" s="43">
        <f>'Personnel,salaires'!V15</f>
        <v>37600</v>
      </c>
      <c r="T11" s="43">
        <f>'Personnel,salaires'!W15</f>
        <v>42400</v>
      </c>
      <c r="U11" s="43">
        <f>'Personnel,salaires'!X15</f>
        <v>42400</v>
      </c>
      <c r="V11" s="43">
        <f>'Personnel,salaires'!Y15</f>
        <v>42400</v>
      </c>
      <c r="W11" s="43">
        <f>'Personnel,salaires'!Z15</f>
        <v>42400</v>
      </c>
      <c r="X11" s="43">
        <f>'Personnel,salaires'!AA15</f>
        <v>42400</v>
      </c>
      <c r="Y11" s="43">
        <f>'Personnel,salaires'!AB15</f>
        <v>42400</v>
      </c>
      <c r="Z11" s="43">
        <f>'Personnel,salaires'!AC15</f>
        <v>42400</v>
      </c>
      <c r="AA11" s="141">
        <v>0</v>
      </c>
      <c r="AB11" s="43">
        <f>'Personnel,salaires'!AE15</f>
        <v>0</v>
      </c>
    </row>
    <row r="12" spans="1:28" ht="13.2">
      <c r="A12" s="539" t="s">
        <v>310</v>
      </c>
      <c r="B12" s="173">
        <v>3000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203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110"/>
      <c r="AB12" s="244"/>
    </row>
    <row r="13" spans="1:28" ht="13.2">
      <c r="A13" s="539" t="s">
        <v>63</v>
      </c>
      <c r="B13" s="173">
        <v>3000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203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110"/>
      <c r="AB13" s="244"/>
    </row>
    <row r="14" spans="1:28" ht="13.2">
      <c r="A14" s="539" t="s">
        <v>311</v>
      </c>
      <c r="B14" s="173">
        <v>3000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203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110"/>
      <c r="AB14" s="244"/>
    </row>
    <row r="15" spans="1:28" ht="13.2">
      <c r="A15" s="539" t="s">
        <v>204</v>
      </c>
      <c r="B15" s="173">
        <v>1200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203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110"/>
      <c r="AB15" s="244"/>
    </row>
    <row r="16" spans="1:28" ht="13.2">
      <c r="A16" s="539" t="s">
        <v>184</v>
      </c>
      <c r="B16" s="173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203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110"/>
      <c r="AB16" s="244"/>
    </row>
    <row r="17" spans="1:28" ht="13.2">
      <c r="A17" s="542" t="s">
        <v>312</v>
      </c>
      <c r="B17" s="173">
        <v>3000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203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110"/>
      <c r="AB17" s="244"/>
    </row>
    <row r="18" spans="1:28" ht="13.2">
      <c r="A18" s="539" t="s">
        <v>185</v>
      </c>
      <c r="B18" s="173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203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110"/>
      <c r="AB18" s="244"/>
    </row>
    <row r="19" spans="1:28" ht="13.2">
      <c r="A19" s="542" t="s">
        <v>313</v>
      </c>
      <c r="B19" s="173">
        <v>2500</v>
      </c>
      <c r="C19" s="43"/>
      <c r="D19" s="43"/>
      <c r="E19" s="43"/>
      <c r="F19" s="86"/>
      <c r="G19" s="86"/>
      <c r="H19" s="86"/>
      <c r="I19" s="86"/>
      <c r="J19" s="86"/>
      <c r="K19" s="86"/>
      <c r="L19" s="86"/>
      <c r="M19" s="86"/>
      <c r="N19" s="86"/>
      <c r="O19" s="203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110"/>
      <c r="AB19" s="244"/>
    </row>
    <row r="20" spans="1:28" ht="13.2">
      <c r="A20" s="539" t="s">
        <v>314</v>
      </c>
      <c r="B20" s="173"/>
      <c r="C20" s="43"/>
      <c r="D20" s="43"/>
      <c r="E20" s="43"/>
      <c r="F20" s="43"/>
      <c r="G20" s="86"/>
      <c r="H20" s="86"/>
      <c r="I20" s="86"/>
      <c r="J20" s="86"/>
      <c r="K20" s="86"/>
      <c r="L20" s="86"/>
      <c r="M20" s="86"/>
      <c r="N20" s="86"/>
      <c r="O20" s="203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110"/>
      <c r="AB20" s="244"/>
    </row>
    <row r="21" spans="1:28" ht="13.2">
      <c r="A21" s="542" t="s">
        <v>315</v>
      </c>
      <c r="B21" s="173">
        <v>2800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03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110"/>
      <c r="AB21" s="244"/>
    </row>
    <row r="22" spans="1:28" ht="13.2">
      <c r="A22" s="539" t="s">
        <v>71</v>
      </c>
      <c r="B22" s="17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03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110"/>
      <c r="AB22" s="244"/>
    </row>
    <row r="23" spans="1:28" ht="13.2">
      <c r="A23" s="542" t="s">
        <v>316</v>
      </c>
      <c r="B23" s="173">
        <f>'Tableau simu'!B43</f>
        <v>0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03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110"/>
      <c r="AB23" s="244"/>
    </row>
    <row r="24" spans="1:28" ht="13.2">
      <c r="A24" s="539" t="s">
        <v>187</v>
      </c>
      <c r="B24" s="173"/>
      <c r="C24" s="43"/>
      <c r="D24" s="43"/>
      <c r="E24" s="43"/>
      <c r="F24" s="43"/>
      <c r="G24" s="86"/>
      <c r="H24" s="86"/>
      <c r="I24" s="86"/>
      <c r="J24" s="86"/>
      <c r="K24" s="86"/>
      <c r="L24" s="86"/>
      <c r="M24" s="86"/>
      <c r="N24" s="86"/>
      <c r="O24" s="203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110"/>
      <c r="AB24" s="244"/>
    </row>
    <row r="25" spans="1:28" ht="13.2">
      <c r="A25" s="542" t="s">
        <v>317</v>
      </c>
      <c r="B25" s="173">
        <v>1500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03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110"/>
      <c r="AB25" s="244"/>
    </row>
    <row r="26" spans="1:28" ht="13.2">
      <c r="A26" s="539" t="s">
        <v>318</v>
      </c>
      <c r="B26" s="369">
        <f>'Tableau simu'!B49</f>
        <v>0.5</v>
      </c>
      <c r="C26" s="43"/>
      <c r="D26" s="43">
        <f t="shared" ref="D26:AB26" si="3">C11*$B26</f>
        <v>6600</v>
      </c>
      <c r="E26" s="43">
        <f t="shared" si="3"/>
        <v>6600</v>
      </c>
      <c r="F26" s="43">
        <f t="shared" si="3"/>
        <v>6600</v>
      </c>
      <c r="G26" s="43">
        <f t="shared" si="3"/>
        <v>7850</v>
      </c>
      <c r="H26" s="43">
        <f t="shared" si="3"/>
        <v>11400</v>
      </c>
      <c r="I26" s="43">
        <f t="shared" si="3"/>
        <v>11400</v>
      </c>
      <c r="J26" s="43">
        <f t="shared" si="3"/>
        <v>12150</v>
      </c>
      <c r="K26" s="43">
        <f t="shared" si="3"/>
        <v>12150</v>
      </c>
      <c r="L26" s="43">
        <f t="shared" si="3"/>
        <v>12150</v>
      </c>
      <c r="M26" s="43">
        <f t="shared" si="3"/>
        <v>12150</v>
      </c>
      <c r="N26" s="43">
        <f t="shared" si="3"/>
        <v>12150</v>
      </c>
      <c r="O26" s="141">
        <f t="shared" si="3"/>
        <v>12150</v>
      </c>
      <c r="P26" s="43">
        <f t="shared" si="3"/>
        <v>15550</v>
      </c>
      <c r="Q26" s="43">
        <f t="shared" si="3"/>
        <v>17300</v>
      </c>
      <c r="R26" s="43">
        <f t="shared" si="3"/>
        <v>17300</v>
      </c>
      <c r="S26" s="43">
        <f t="shared" si="3"/>
        <v>17300</v>
      </c>
      <c r="T26" s="43">
        <f t="shared" si="3"/>
        <v>18800</v>
      </c>
      <c r="U26" s="43">
        <f t="shared" si="3"/>
        <v>21200</v>
      </c>
      <c r="V26" s="43">
        <f t="shared" si="3"/>
        <v>21200</v>
      </c>
      <c r="W26" s="43">
        <f t="shared" si="3"/>
        <v>21200</v>
      </c>
      <c r="X26" s="43">
        <f t="shared" si="3"/>
        <v>21200</v>
      </c>
      <c r="Y26" s="43">
        <f t="shared" si="3"/>
        <v>21200</v>
      </c>
      <c r="Z26" s="43">
        <f t="shared" si="3"/>
        <v>21200</v>
      </c>
      <c r="AA26" s="141">
        <f t="shared" si="3"/>
        <v>21200</v>
      </c>
      <c r="AB26" s="43">
        <f t="shared" si="3"/>
        <v>0</v>
      </c>
    </row>
    <row r="27" spans="1:28" ht="13.2">
      <c r="A27" s="531" t="s">
        <v>319</v>
      </c>
      <c r="B27" s="369">
        <f>'Tableau simu'!B51</f>
        <v>0.2</v>
      </c>
      <c r="C27" s="43">
        <f t="shared" ref="C27:AB27" si="4">(C11*$B27)*1.196</f>
        <v>3157.44</v>
      </c>
      <c r="D27" s="43">
        <f t="shared" si="4"/>
        <v>3157.44</v>
      </c>
      <c r="E27" s="43">
        <f t="shared" si="4"/>
        <v>3157.44</v>
      </c>
      <c r="F27" s="43">
        <f t="shared" si="4"/>
        <v>3755.44</v>
      </c>
      <c r="G27" s="43">
        <f t="shared" si="4"/>
        <v>5453.76</v>
      </c>
      <c r="H27" s="43">
        <f t="shared" si="4"/>
        <v>5453.76</v>
      </c>
      <c r="I27" s="43">
        <f t="shared" si="4"/>
        <v>5812.5599999999995</v>
      </c>
      <c r="J27" s="43">
        <f t="shared" si="4"/>
        <v>5812.5599999999995</v>
      </c>
      <c r="K27" s="43">
        <f t="shared" si="4"/>
        <v>5812.5599999999995</v>
      </c>
      <c r="L27" s="43">
        <f t="shared" si="4"/>
        <v>5812.5599999999995</v>
      </c>
      <c r="M27" s="43">
        <f t="shared" si="4"/>
        <v>5812.5599999999995</v>
      </c>
      <c r="N27" s="43">
        <f t="shared" si="4"/>
        <v>5812.5599999999995</v>
      </c>
      <c r="O27" s="141">
        <f t="shared" si="4"/>
        <v>7439.12</v>
      </c>
      <c r="P27" s="43">
        <f t="shared" si="4"/>
        <v>8276.32</v>
      </c>
      <c r="Q27" s="43">
        <f t="shared" si="4"/>
        <v>8276.32</v>
      </c>
      <c r="R27" s="43">
        <f t="shared" si="4"/>
        <v>8276.32</v>
      </c>
      <c r="S27" s="43">
        <f t="shared" si="4"/>
        <v>8993.92</v>
      </c>
      <c r="T27" s="43">
        <f t="shared" si="4"/>
        <v>10142.08</v>
      </c>
      <c r="U27" s="43">
        <f t="shared" si="4"/>
        <v>10142.08</v>
      </c>
      <c r="V27" s="43">
        <f t="shared" si="4"/>
        <v>10142.08</v>
      </c>
      <c r="W27" s="43">
        <f t="shared" si="4"/>
        <v>10142.08</v>
      </c>
      <c r="X27" s="43">
        <f t="shared" si="4"/>
        <v>10142.08</v>
      </c>
      <c r="Y27" s="43">
        <f t="shared" si="4"/>
        <v>10142.08</v>
      </c>
      <c r="Z27" s="43">
        <f t="shared" si="4"/>
        <v>10142.08</v>
      </c>
      <c r="AA27" s="141">
        <f t="shared" si="4"/>
        <v>0</v>
      </c>
      <c r="AB27" s="43">
        <f t="shared" si="4"/>
        <v>0</v>
      </c>
    </row>
    <row r="28" spans="1:28" ht="13.2">
      <c r="A28" s="531" t="s">
        <v>320</v>
      </c>
      <c r="B28" s="369">
        <f>'Tableau simu'!B52</f>
        <v>0.08</v>
      </c>
      <c r="C28" s="43">
        <f t="shared" ref="C28:AB28" si="5">C11*$B28</f>
        <v>1056</v>
      </c>
      <c r="D28" s="43">
        <f t="shared" si="5"/>
        <v>1056</v>
      </c>
      <c r="E28" s="43">
        <f t="shared" si="5"/>
        <v>1056</v>
      </c>
      <c r="F28" s="43">
        <f t="shared" si="5"/>
        <v>1256</v>
      </c>
      <c r="G28" s="43">
        <f t="shared" si="5"/>
        <v>1824</v>
      </c>
      <c r="H28" s="43">
        <f t="shared" si="5"/>
        <v>1824</v>
      </c>
      <c r="I28" s="43">
        <f t="shared" si="5"/>
        <v>1944</v>
      </c>
      <c r="J28" s="43">
        <f t="shared" si="5"/>
        <v>1944</v>
      </c>
      <c r="K28" s="43">
        <f t="shared" si="5"/>
        <v>1944</v>
      </c>
      <c r="L28" s="43">
        <f t="shared" si="5"/>
        <v>1944</v>
      </c>
      <c r="M28" s="43">
        <f t="shared" si="5"/>
        <v>1944</v>
      </c>
      <c r="N28" s="43">
        <f t="shared" si="5"/>
        <v>1944</v>
      </c>
      <c r="O28" s="141">
        <f t="shared" si="5"/>
        <v>2488</v>
      </c>
      <c r="P28" s="43">
        <f t="shared" si="5"/>
        <v>2768</v>
      </c>
      <c r="Q28" s="43">
        <f t="shared" si="5"/>
        <v>2768</v>
      </c>
      <c r="R28" s="43">
        <f t="shared" si="5"/>
        <v>2768</v>
      </c>
      <c r="S28" s="43">
        <f t="shared" si="5"/>
        <v>3008</v>
      </c>
      <c r="T28" s="43">
        <f t="shared" si="5"/>
        <v>3392</v>
      </c>
      <c r="U28" s="43">
        <f t="shared" si="5"/>
        <v>3392</v>
      </c>
      <c r="V28" s="43">
        <f t="shared" si="5"/>
        <v>3392</v>
      </c>
      <c r="W28" s="43">
        <f t="shared" si="5"/>
        <v>3392</v>
      </c>
      <c r="X28" s="43">
        <f t="shared" si="5"/>
        <v>3392</v>
      </c>
      <c r="Y28" s="43">
        <f t="shared" si="5"/>
        <v>3392</v>
      </c>
      <c r="Z28" s="43">
        <f t="shared" si="5"/>
        <v>3392</v>
      </c>
      <c r="AA28" s="141">
        <f t="shared" si="5"/>
        <v>0</v>
      </c>
      <c r="AB28" s="43">
        <f t="shared" si="5"/>
        <v>0</v>
      </c>
    </row>
    <row r="29" spans="1:28" ht="13.2">
      <c r="A29" s="531" t="s">
        <v>321</v>
      </c>
      <c r="B29" s="223">
        <v>2000</v>
      </c>
      <c r="C29" s="43">
        <f t="shared" ref="C29:O29" si="6">IF((C4=1),$B29,0)</f>
        <v>0</v>
      </c>
      <c r="D29" s="43">
        <f t="shared" si="6"/>
        <v>0</v>
      </c>
      <c r="E29" s="43">
        <f t="shared" si="6"/>
        <v>0</v>
      </c>
      <c r="F29" s="43">
        <f t="shared" si="6"/>
        <v>0</v>
      </c>
      <c r="G29" s="43">
        <f t="shared" si="6"/>
        <v>0</v>
      </c>
      <c r="H29" s="43">
        <f t="shared" si="6"/>
        <v>0</v>
      </c>
      <c r="I29" s="43">
        <f t="shared" si="6"/>
        <v>2000</v>
      </c>
      <c r="J29" s="43">
        <f t="shared" si="6"/>
        <v>2000</v>
      </c>
      <c r="K29" s="43">
        <f t="shared" si="6"/>
        <v>2000</v>
      </c>
      <c r="L29" s="43">
        <f t="shared" si="6"/>
        <v>2000</v>
      </c>
      <c r="M29" s="43">
        <f t="shared" si="6"/>
        <v>2000</v>
      </c>
      <c r="N29" s="43">
        <f t="shared" si="6"/>
        <v>2000</v>
      </c>
      <c r="O29" s="141">
        <f t="shared" si="6"/>
        <v>2000</v>
      </c>
      <c r="P29" s="43">
        <f t="shared" ref="P29:Z29" si="7">IF((P4=1),$B29,0)+IF((P5=1),$B29,0)</f>
        <v>2000</v>
      </c>
      <c r="Q29" s="43">
        <f t="shared" si="7"/>
        <v>2000</v>
      </c>
      <c r="R29" s="43">
        <f t="shared" si="7"/>
        <v>2000</v>
      </c>
      <c r="S29" s="43">
        <f t="shared" si="7"/>
        <v>2000</v>
      </c>
      <c r="T29" s="43">
        <f t="shared" si="7"/>
        <v>2000</v>
      </c>
      <c r="U29" s="43">
        <f t="shared" si="7"/>
        <v>4000</v>
      </c>
      <c r="V29" s="43">
        <f t="shared" si="7"/>
        <v>2000</v>
      </c>
      <c r="W29" s="43">
        <f t="shared" si="7"/>
        <v>4000</v>
      </c>
      <c r="X29" s="43">
        <f t="shared" si="7"/>
        <v>2000</v>
      </c>
      <c r="Y29" s="43">
        <f t="shared" si="7"/>
        <v>4000</v>
      </c>
      <c r="Z29" s="43">
        <f t="shared" si="7"/>
        <v>2000</v>
      </c>
      <c r="AA29" s="141">
        <f>IF((AA4=1),$B29,0)</f>
        <v>2000</v>
      </c>
      <c r="AB29" s="43">
        <f>IF((AB4=1),$B29,0)</f>
        <v>2000</v>
      </c>
    </row>
    <row r="30" spans="1:28" ht="13.2">
      <c r="A30" s="263" t="s">
        <v>322</v>
      </c>
      <c r="B30" s="369"/>
      <c r="C30" s="374">
        <f t="shared" ref="C30:AB30" si="8">(C7-((((C11+C27)+C26)+C28)+C9))-C29</f>
        <v>-17413.440000000002</v>
      </c>
      <c r="D30" s="374">
        <f t="shared" si="8"/>
        <v>-24013.440000000002</v>
      </c>
      <c r="E30" s="374">
        <f t="shared" si="8"/>
        <v>-24013.440000000002</v>
      </c>
      <c r="F30" s="374">
        <f t="shared" si="8"/>
        <v>-15351.439999999999</v>
      </c>
      <c r="G30" s="374">
        <f t="shared" si="8"/>
        <v>-25967.760000000002</v>
      </c>
      <c r="H30" s="374">
        <f t="shared" si="8"/>
        <v>18322.239999999998</v>
      </c>
      <c r="I30" s="374">
        <f t="shared" si="8"/>
        <v>14343.440000000002</v>
      </c>
      <c r="J30" s="374">
        <f t="shared" si="8"/>
        <v>47177.119999999995</v>
      </c>
      <c r="K30" s="374">
        <f t="shared" si="8"/>
        <v>47177.119999999995</v>
      </c>
      <c r="L30" s="374">
        <f t="shared" si="8"/>
        <v>47177.119999999995</v>
      </c>
      <c r="M30" s="374">
        <f t="shared" si="8"/>
        <v>47177.119999999995</v>
      </c>
      <c r="N30" s="374">
        <f t="shared" si="8"/>
        <v>47177.119999999995</v>
      </c>
      <c r="O30" s="112">
        <f t="shared" si="8"/>
        <v>38206.559999999998</v>
      </c>
      <c r="P30" s="374">
        <f>P7-SUM(P9:P29)</f>
        <v>27797.359999999986</v>
      </c>
      <c r="Q30" s="374">
        <f t="shared" ref="Q30:Y30" si="9">Q7-SUM(Q9:Q29)</f>
        <v>40399.359999999986</v>
      </c>
      <c r="R30" s="374">
        <f>R7-SUM(R9:R29)</f>
        <v>16479.359999999986</v>
      </c>
      <c r="S30" s="374">
        <f t="shared" si="9"/>
        <v>26873.759999999995</v>
      </c>
      <c r="T30" s="374">
        <f t="shared" si="9"/>
        <v>50137.599999999991</v>
      </c>
      <c r="U30" s="374">
        <f t="shared" si="9"/>
        <v>2681.5999999999913</v>
      </c>
      <c r="V30" s="374">
        <f>V7-SUM(V9:V29)</f>
        <v>73188.48000000001</v>
      </c>
      <c r="W30" s="374">
        <f t="shared" si="9"/>
        <v>2681.5999999999913</v>
      </c>
      <c r="X30" s="374">
        <f t="shared" si="9"/>
        <v>73188.48000000001</v>
      </c>
      <c r="Y30" s="374">
        <f t="shared" si="9"/>
        <v>2681.5999999999913</v>
      </c>
      <c r="Z30" s="374">
        <f>Z7-SUM(Z9:Z29)</f>
        <v>73188.48000000001</v>
      </c>
      <c r="AA30" s="112">
        <f>AA7-SUM(AA9:AA29)</f>
        <v>60615.68</v>
      </c>
      <c r="AB30" s="374">
        <f t="shared" si="8"/>
        <v>187063.67999999999</v>
      </c>
    </row>
    <row r="31" spans="1:28" ht="13.2">
      <c r="A31" s="263" t="s">
        <v>323</v>
      </c>
      <c r="B31" s="330"/>
      <c r="C31" s="374">
        <f>TVA!C22</f>
        <v>0</v>
      </c>
      <c r="D31" s="374">
        <f>TVA!D22</f>
        <v>0</v>
      </c>
      <c r="E31" s="374">
        <f>TVA!E22</f>
        <v>0</v>
      </c>
      <c r="F31" s="374">
        <f>TVA!F22</f>
        <v>0</v>
      </c>
      <c r="G31" s="374">
        <f>TVA!G22</f>
        <v>0</v>
      </c>
      <c r="H31" s="374">
        <f>TVA!H22</f>
        <v>0</v>
      </c>
      <c r="I31" s="374">
        <f>TVA!I22</f>
        <v>0</v>
      </c>
      <c r="J31" s="374">
        <f>TVA!J22</f>
        <v>3124.239999999998</v>
      </c>
      <c r="K31" s="374">
        <f>TVA!K22</f>
        <v>14351.119999999999</v>
      </c>
      <c r="L31" s="374">
        <f>TVA!L22</f>
        <v>14351.119999999999</v>
      </c>
      <c r="M31" s="374">
        <f>TVA!M22</f>
        <v>14351.119999999999</v>
      </c>
      <c r="N31" s="374">
        <f>TVA!N22</f>
        <v>14351.119999999999</v>
      </c>
      <c r="O31" s="112">
        <f>TVA!O22</f>
        <v>14351.119999999999</v>
      </c>
      <c r="P31" s="374">
        <f>TVA!P22</f>
        <v>8998.3599999999988</v>
      </c>
      <c r="Q31" s="374">
        <f>TVA!Q22</f>
        <v>13555.36</v>
      </c>
      <c r="R31" s="374">
        <f>TVA!R22</f>
        <v>15907.36</v>
      </c>
      <c r="S31" s="374">
        <f>TVA!S22</f>
        <v>11987.36</v>
      </c>
      <c r="T31" s="374">
        <f>TVA!T22</f>
        <v>14221.76</v>
      </c>
      <c r="U31" s="374">
        <f>TVA!U22</f>
        <v>19129.599999999999</v>
      </c>
      <c r="V31" s="374">
        <f>TVA!V22</f>
        <v>4484.4799999999996</v>
      </c>
      <c r="W31" s="374">
        <f>TVA!W22</f>
        <v>30889.599999999999</v>
      </c>
      <c r="X31" s="374">
        <f>TVA!X22</f>
        <v>4484.4799999999996</v>
      </c>
      <c r="Y31" s="374">
        <f>TVA!Y22</f>
        <v>30889.599999999999</v>
      </c>
      <c r="Z31" s="374">
        <f>TVA!Z22</f>
        <v>4484.4799999999996</v>
      </c>
      <c r="AA31" s="112">
        <f>TVA!AA22</f>
        <v>0</v>
      </c>
      <c r="AB31" s="374">
        <f>TVA!AB22</f>
        <v>0</v>
      </c>
    </row>
    <row r="32" spans="1:28" ht="13.2">
      <c r="A32" s="263" t="s">
        <v>324</v>
      </c>
      <c r="B32" s="330"/>
      <c r="C32" s="374" t="s">
        <v>325</v>
      </c>
      <c r="D32" s="374">
        <v>0</v>
      </c>
      <c r="E32" s="374">
        <v>0</v>
      </c>
      <c r="F32" s="374">
        <v>0</v>
      </c>
      <c r="G32" s="374">
        <v>0</v>
      </c>
      <c r="H32" s="374">
        <v>0</v>
      </c>
      <c r="I32" s="374">
        <v>0</v>
      </c>
      <c r="J32" s="374">
        <v>0</v>
      </c>
      <c r="K32" s="374">
        <v>0</v>
      </c>
      <c r="L32" s="374">
        <v>0</v>
      </c>
      <c r="M32" s="374">
        <v>0</v>
      </c>
      <c r="N32" s="374">
        <v>0</v>
      </c>
      <c r="O32" s="112">
        <v>0</v>
      </c>
      <c r="P32" s="374">
        <v>0</v>
      </c>
      <c r="Q32" s="374">
        <v>0</v>
      </c>
      <c r="R32" s="374">
        <v>0</v>
      </c>
      <c r="S32" s="374">
        <v>0</v>
      </c>
      <c r="T32" s="374">
        <v>0</v>
      </c>
      <c r="U32" s="374">
        <v>0</v>
      </c>
      <c r="V32" s="374">
        <v>0</v>
      </c>
      <c r="W32" s="374">
        <v>0</v>
      </c>
      <c r="X32" s="374">
        <v>0</v>
      </c>
      <c r="Y32" s="374">
        <v>0</v>
      </c>
      <c r="Z32" s="374">
        <v>0</v>
      </c>
      <c r="AA32" s="112">
        <v>0</v>
      </c>
      <c r="AB32" s="374">
        <v>0</v>
      </c>
    </row>
    <row r="33" spans="1:28" ht="13.2">
      <c r="A33" s="263" t="s">
        <v>326</v>
      </c>
      <c r="B33" s="330"/>
      <c r="C33" s="374">
        <v>0</v>
      </c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112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112"/>
      <c r="AB33" s="374"/>
    </row>
    <row r="34" spans="1:28" ht="13.2">
      <c r="A34" s="263" t="s">
        <v>327</v>
      </c>
      <c r="B34" s="330"/>
      <c r="C34" s="374">
        <f t="shared" ref="C34:AB34" si="10">C30-C31</f>
        <v>-17413.440000000002</v>
      </c>
      <c r="D34" s="374">
        <f t="shared" si="10"/>
        <v>-24013.440000000002</v>
      </c>
      <c r="E34" s="374">
        <f t="shared" si="10"/>
        <v>-24013.440000000002</v>
      </c>
      <c r="F34" s="374">
        <f t="shared" si="10"/>
        <v>-15351.439999999999</v>
      </c>
      <c r="G34" s="374">
        <f t="shared" si="10"/>
        <v>-25967.760000000002</v>
      </c>
      <c r="H34" s="374">
        <f t="shared" si="10"/>
        <v>18322.239999999998</v>
      </c>
      <c r="I34" s="374">
        <f t="shared" si="10"/>
        <v>14343.440000000002</v>
      </c>
      <c r="J34" s="374">
        <f t="shared" si="10"/>
        <v>44052.88</v>
      </c>
      <c r="K34" s="374">
        <f t="shared" si="10"/>
        <v>32826</v>
      </c>
      <c r="L34" s="374">
        <f t="shared" si="10"/>
        <v>32826</v>
      </c>
      <c r="M34" s="374">
        <f t="shared" si="10"/>
        <v>32826</v>
      </c>
      <c r="N34" s="374">
        <f t="shared" si="10"/>
        <v>32826</v>
      </c>
      <c r="O34" s="112">
        <f t="shared" si="10"/>
        <v>23855.439999999999</v>
      </c>
      <c r="P34" s="374">
        <f>P30-SUM(P31:P33)</f>
        <v>18798.999999999985</v>
      </c>
      <c r="Q34" s="374">
        <f>Q30-SUM(Q31:Q33)</f>
        <v>26843.999999999985</v>
      </c>
      <c r="R34" s="374">
        <f>R30-SUM(R31:R33)</f>
        <v>571.99999999998545</v>
      </c>
      <c r="S34" s="374">
        <f t="shared" ref="S34:Z34" si="11">S30-SUM(S31:S33)</f>
        <v>14886.399999999994</v>
      </c>
      <c r="T34" s="374">
        <f t="shared" si="11"/>
        <v>35915.839999999989</v>
      </c>
      <c r="U34" s="374">
        <f t="shared" si="11"/>
        <v>-16448.000000000007</v>
      </c>
      <c r="V34" s="374">
        <f>V30-SUM(V31:V33)</f>
        <v>68704.000000000015</v>
      </c>
      <c r="W34" s="374">
        <f t="shared" si="11"/>
        <v>-28208.000000000007</v>
      </c>
      <c r="X34" s="374">
        <f t="shared" si="11"/>
        <v>68704.000000000015</v>
      </c>
      <c r="Y34" s="374">
        <f t="shared" si="11"/>
        <v>-28208.000000000007</v>
      </c>
      <c r="Z34" s="374">
        <f t="shared" si="11"/>
        <v>68704.000000000015</v>
      </c>
      <c r="AA34" s="112">
        <f>AA30-SUM(AA31:AA33)</f>
        <v>60615.68</v>
      </c>
      <c r="AB34" s="374">
        <f t="shared" si="10"/>
        <v>187063.67999999999</v>
      </c>
    </row>
    <row r="35" spans="1:28" ht="13.2">
      <c r="A35" s="263"/>
      <c r="B35" s="330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203"/>
      <c r="P35" s="244"/>
      <c r="Q35" s="244"/>
      <c r="R35" s="244"/>
      <c r="S35" s="375"/>
      <c r="T35" s="244"/>
      <c r="U35" s="244"/>
      <c r="V35" s="244"/>
      <c r="W35" s="244"/>
      <c r="X35" s="244"/>
      <c r="Y35" s="244"/>
      <c r="Z35" s="244"/>
      <c r="AA35" s="110"/>
      <c r="AB35" s="244"/>
    </row>
    <row r="36" spans="1:28" ht="13.2">
      <c r="A36" s="263" t="s">
        <v>328</v>
      </c>
      <c r="B36" s="17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03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110"/>
      <c r="AB36" s="244"/>
    </row>
    <row r="37" spans="1:28" ht="13.2">
      <c r="A37" s="531" t="s">
        <v>80</v>
      </c>
      <c r="B37" s="223">
        <f>'Tableau simu'!B55</f>
        <v>50000</v>
      </c>
      <c r="C37" s="43">
        <f>B37</f>
        <v>50000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141"/>
      <c r="P37" s="244"/>
      <c r="Q37" s="244"/>
      <c r="R37" s="244"/>
      <c r="S37" s="375"/>
      <c r="T37" s="244"/>
      <c r="U37" s="244"/>
      <c r="V37" s="244"/>
      <c r="W37" s="244"/>
      <c r="X37" s="244"/>
      <c r="Y37" s="244"/>
      <c r="Z37" s="244"/>
      <c r="AA37" s="110"/>
      <c r="AB37" s="244"/>
    </row>
    <row r="38" spans="1:28" ht="13.2">
      <c r="A38" s="531" t="s">
        <v>329</v>
      </c>
      <c r="B38" s="408">
        <f>'Tableau simu'!B28</f>
        <v>65000</v>
      </c>
      <c r="C38" s="43">
        <f>B38</f>
        <v>65000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141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110"/>
      <c r="AB38" s="244"/>
    </row>
    <row r="39" spans="1:28" ht="13.2">
      <c r="A39" s="531" t="s">
        <v>330</v>
      </c>
      <c r="B39" s="408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03"/>
      <c r="P39" s="244"/>
      <c r="Q39" s="244"/>
      <c r="R39" s="244"/>
      <c r="S39" s="375"/>
      <c r="T39" s="244"/>
      <c r="U39" s="244"/>
      <c r="V39" s="244"/>
      <c r="W39" s="244"/>
      <c r="X39" s="244"/>
      <c r="Y39" s="244"/>
      <c r="Z39" s="244"/>
      <c r="AA39" s="110"/>
      <c r="AB39" s="244"/>
    </row>
    <row r="40" spans="1:28" ht="13.2">
      <c r="A40" s="263" t="s">
        <v>331</v>
      </c>
      <c r="B40" s="173"/>
      <c r="C40" s="43">
        <f t="shared" ref="C40:AB40" si="12">(C37+C38)+C39</f>
        <v>115000</v>
      </c>
      <c r="D40" s="43">
        <f t="shared" si="12"/>
        <v>0</v>
      </c>
      <c r="E40" s="43">
        <f t="shared" si="12"/>
        <v>0</v>
      </c>
      <c r="F40" s="43">
        <f t="shared" si="12"/>
        <v>0</v>
      </c>
      <c r="G40" s="43">
        <f t="shared" si="12"/>
        <v>0</v>
      </c>
      <c r="H40" s="43">
        <f t="shared" si="12"/>
        <v>0</v>
      </c>
      <c r="I40" s="43">
        <f t="shared" si="12"/>
        <v>0</v>
      </c>
      <c r="J40" s="43">
        <f t="shared" si="12"/>
        <v>0</v>
      </c>
      <c r="K40" s="43">
        <f t="shared" si="12"/>
        <v>0</v>
      </c>
      <c r="L40" s="43">
        <f t="shared" si="12"/>
        <v>0</v>
      </c>
      <c r="M40" s="43">
        <f t="shared" si="12"/>
        <v>0</v>
      </c>
      <c r="N40" s="43">
        <f t="shared" si="12"/>
        <v>0</v>
      </c>
      <c r="O40" s="141">
        <f t="shared" si="12"/>
        <v>0</v>
      </c>
      <c r="P40" s="43">
        <f t="shared" si="12"/>
        <v>0</v>
      </c>
      <c r="Q40" s="43">
        <f t="shared" si="12"/>
        <v>0</v>
      </c>
      <c r="R40" s="43">
        <f t="shared" si="12"/>
        <v>0</v>
      </c>
      <c r="S40" s="43">
        <f t="shared" si="12"/>
        <v>0</v>
      </c>
      <c r="T40" s="43">
        <f t="shared" si="12"/>
        <v>0</v>
      </c>
      <c r="U40" s="43">
        <f t="shared" si="12"/>
        <v>0</v>
      </c>
      <c r="V40" s="43">
        <f t="shared" si="12"/>
        <v>0</v>
      </c>
      <c r="W40" s="43">
        <f t="shared" si="12"/>
        <v>0</v>
      </c>
      <c r="X40" s="43">
        <f t="shared" si="12"/>
        <v>0</v>
      </c>
      <c r="Y40" s="43">
        <f t="shared" si="12"/>
        <v>0</v>
      </c>
      <c r="Z40" s="43">
        <f t="shared" si="12"/>
        <v>0</v>
      </c>
      <c r="AA40" s="141">
        <f t="shared" si="12"/>
        <v>0</v>
      </c>
      <c r="AB40" s="43">
        <f t="shared" si="12"/>
        <v>0</v>
      </c>
    </row>
    <row r="41" spans="1:28" ht="13.2">
      <c r="A41" s="263" t="s">
        <v>332</v>
      </c>
      <c r="B41" s="17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03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110"/>
      <c r="AB41" s="244"/>
    </row>
    <row r="42" spans="1:28" ht="13.2">
      <c r="A42" s="531" t="s">
        <v>333</v>
      </c>
      <c r="B42" s="173"/>
      <c r="C42" s="43">
        <f>Immo!C27*1.196</f>
        <v>68291.599999999991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03">
        <f>Immo!M27*1.196</f>
        <v>31036.199999999997</v>
      </c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110"/>
      <c r="AB42" s="244"/>
    </row>
    <row r="43" spans="1:28" ht="13.2">
      <c r="A43" s="531" t="s">
        <v>334</v>
      </c>
      <c r="B43" s="17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03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110"/>
      <c r="AB43" s="244"/>
    </row>
    <row r="44" spans="1:28" ht="13.2">
      <c r="A44" s="542" t="s">
        <v>335</v>
      </c>
      <c r="B44" s="173"/>
      <c r="C44" s="220">
        <f>Immo!C31</f>
        <v>6000</v>
      </c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03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110"/>
      <c r="AB44" s="244"/>
    </row>
    <row r="45" spans="1:28" ht="13.2">
      <c r="A45" s="542" t="s">
        <v>336</v>
      </c>
      <c r="B45" s="173"/>
      <c r="C45" s="43">
        <f>Immo!C32</f>
        <v>18000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03">
        <f>Immo!M31</f>
        <v>0</v>
      </c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110"/>
      <c r="AB45" s="244"/>
    </row>
    <row r="46" spans="1:28" ht="13.2">
      <c r="A46" s="531" t="s">
        <v>337</v>
      </c>
      <c r="B46" s="369">
        <f>'Tableau simu'!B30</f>
        <v>7.0000000000000007E-2</v>
      </c>
      <c r="C46" s="43">
        <f>- PPMT(($B46/12),C2,'Tableau simu'!$B29,$B38,0,0)</f>
        <v>1627.844629582504</v>
      </c>
      <c r="D46" s="43">
        <f>- PPMT(($B46/12),D2,'Tableau simu'!$B29,$B38,0,0)</f>
        <v>1637.3403899217353</v>
      </c>
      <c r="E46" s="43">
        <f>- PPMT(($B46/12),E2,'Tableau simu'!$B29,$B38,0,0)</f>
        <v>1646.8915421962788</v>
      </c>
      <c r="F46" s="43">
        <f>- PPMT(($B46/12),F2,'Tableau simu'!$B29,$B38,0,0)</f>
        <v>1656.4984095257573</v>
      </c>
      <c r="G46" s="43">
        <f>- PPMT(($B46/12),G2,'Tableau simu'!$B29,$B38,0,0)</f>
        <v>1666.1613169146576</v>
      </c>
      <c r="H46" s="43">
        <f>- PPMT(($B46/12),H2,'Tableau simu'!$B29,$B38,0,0)</f>
        <v>1675.8805912633263</v>
      </c>
      <c r="I46" s="43">
        <f>- PPMT(($B46/12),I2,'Tableau simu'!$B29,$B38,0,0)</f>
        <v>1685.6565613790292</v>
      </c>
      <c r="J46" s="43">
        <f>- PPMT(($B46/12),J2,'Tableau simu'!$B29,$B38,0,0)</f>
        <v>1695.4895579870733</v>
      </c>
      <c r="K46" s="43">
        <f>- PPMT(($B46/12),K2,'Tableau simu'!$B29,$B38,0,0)</f>
        <v>1705.3799137419983</v>
      </c>
      <c r="L46" s="43">
        <f>- PPMT(($B46/12),L2,'Tableau simu'!$B29,$B38,0,0)</f>
        <v>1715.3279632388267</v>
      </c>
      <c r="M46" s="43">
        <f>- PPMT(($B46/12),M2,'Tableau simu'!$B29,$B38,0,0)</f>
        <v>1725.3340430243863</v>
      </c>
      <c r="N46" s="43">
        <f>- PPMT(($B46/12),N2,'Tableau simu'!$B29,$B38,0,0)</f>
        <v>1735.3984916086954</v>
      </c>
      <c r="O46" s="141">
        <f>- PPMT(($B46/12),O2,'Tableau simu'!$B29,$B38,0,0)</f>
        <v>1745.5216494764127</v>
      </c>
      <c r="P46" s="43">
        <f>- PPMT(($B46/12),P2,'Tableau simu'!$B29,$B38,0,0)</f>
        <v>1755.7038590983586</v>
      </c>
      <c r="Q46" s="43">
        <f>- PPMT(($B46/12),Q2,'Tableau simu'!$B29,$B38,0,0)</f>
        <v>1765.9454649430993</v>
      </c>
      <c r="R46" s="43">
        <f>- PPMT(($B46/12),R2,'Tableau simu'!$B29,$B38,0,0)</f>
        <v>1776.2468134886003</v>
      </c>
      <c r="S46" s="43">
        <f>- PPMT(($B46/12),S2,'Tableau simu'!$B29,$B38,0,0)</f>
        <v>1786.6082532339506</v>
      </c>
      <c r="T46" s="43">
        <f>- PPMT(($B46/12),T2,'Tableau simu'!$B29,$B38,0,0)</f>
        <v>1797.0301347111488</v>
      </c>
      <c r="U46" s="43">
        <f>- PPMT(($B46/12),U2,'Tableau simu'!$B29,$B38,0,0)</f>
        <v>1807.5128104969638</v>
      </c>
      <c r="V46" s="43">
        <f>- PPMT(($B46/12),V2,'Tableau simu'!$B29,$B38,0,0)</f>
        <v>1818.0566352248629</v>
      </c>
      <c r="W46" s="43">
        <f>- PPMT(($B46/12),W2,'Tableau simu'!$B29,$B38,0,0)</f>
        <v>1828.6619655970078</v>
      </c>
      <c r="X46" s="43">
        <f>- PPMT(($B46/12),X2,'Tableau simu'!$B29,$B38,0,0)</f>
        <v>1839.3291603963239</v>
      </c>
      <c r="Y46" s="43">
        <f>- PPMT(($B46/12),Y2,'Tableau simu'!$B29,$B38,0,0)</f>
        <v>1850.0585804986358</v>
      </c>
      <c r="Z46" s="43">
        <f>- PPMT(($B46/12),Z2,'Tableau simu'!$B29,$B38,0,0)</f>
        <v>1860.8505888848777</v>
      </c>
      <c r="AA46" s="141">
        <f>- PPMT(($B46/12),AA2,'Tableau simu'!$B29,$B38,0,0)</f>
        <v>1871.7055506533729</v>
      </c>
      <c r="AB46" s="43">
        <f>- PPMT(($B46/12),AB2,'Tableau simu'!$B29,$B38,0,0)</f>
        <v>1882.6238330321844</v>
      </c>
    </row>
    <row r="47" spans="1:28" ht="13.2">
      <c r="A47" s="531" t="s">
        <v>338</v>
      </c>
      <c r="B47" s="408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03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110"/>
      <c r="AB47" s="244"/>
    </row>
    <row r="48" spans="1:28" ht="13.2">
      <c r="A48" s="263" t="s">
        <v>339</v>
      </c>
      <c r="B48" s="173"/>
      <c r="C48" s="43">
        <f>((C42+C44)+C45)+C46</f>
        <v>93919.444629582489</v>
      </c>
      <c r="D48" s="43">
        <f t="shared" ref="D48:AB48" si="13">((((D42+D43)+D44)+D45)+D46)+D47</f>
        <v>1637.3403899217353</v>
      </c>
      <c r="E48" s="43">
        <f t="shared" si="13"/>
        <v>1646.8915421962788</v>
      </c>
      <c r="F48" s="43">
        <f t="shared" si="13"/>
        <v>1656.4984095257573</v>
      </c>
      <c r="G48" s="43">
        <f t="shared" si="13"/>
        <v>1666.1613169146576</v>
      </c>
      <c r="H48" s="43">
        <f t="shared" si="13"/>
        <v>1675.8805912633263</v>
      </c>
      <c r="I48" s="43">
        <f t="shared" si="13"/>
        <v>1685.6565613790292</v>
      </c>
      <c r="J48" s="43">
        <f t="shared" si="13"/>
        <v>1695.4895579870733</v>
      </c>
      <c r="K48" s="43">
        <f t="shared" si="13"/>
        <v>1705.3799137419983</v>
      </c>
      <c r="L48" s="43">
        <f t="shared" si="13"/>
        <v>1715.3279632388267</v>
      </c>
      <c r="M48" s="43">
        <f t="shared" si="13"/>
        <v>1725.3340430243863</v>
      </c>
      <c r="N48" s="43">
        <f>((((N42+N43)+N44)+N45)+N46)+N47</f>
        <v>1735.3984916086954</v>
      </c>
      <c r="O48" s="141">
        <f>((((O42+O43)+O44)+O45)+O46)+O47</f>
        <v>32781.721649476407</v>
      </c>
      <c r="P48" s="43">
        <f t="shared" si="13"/>
        <v>1755.7038590983586</v>
      </c>
      <c r="Q48" s="43">
        <f t="shared" si="13"/>
        <v>1765.9454649430993</v>
      </c>
      <c r="R48" s="43">
        <f t="shared" si="13"/>
        <v>1776.2468134886003</v>
      </c>
      <c r="S48" s="43">
        <f t="shared" si="13"/>
        <v>1786.6082532339506</v>
      </c>
      <c r="T48" s="43">
        <f t="shared" si="13"/>
        <v>1797.0301347111488</v>
      </c>
      <c r="U48" s="43">
        <f t="shared" si="13"/>
        <v>1807.5128104969638</v>
      </c>
      <c r="V48" s="43">
        <f t="shared" si="13"/>
        <v>1818.0566352248629</v>
      </c>
      <c r="W48" s="43">
        <f t="shared" si="13"/>
        <v>1828.6619655970078</v>
      </c>
      <c r="X48" s="43">
        <f t="shared" si="13"/>
        <v>1839.3291603963239</v>
      </c>
      <c r="Y48" s="43">
        <f t="shared" si="13"/>
        <v>1850.0585804986358</v>
      </c>
      <c r="Z48" s="43">
        <f t="shared" si="13"/>
        <v>1860.8505888848777</v>
      </c>
      <c r="AA48" s="141">
        <f t="shared" si="13"/>
        <v>1871.7055506533729</v>
      </c>
      <c r="AB48" s="43">
        <f t="shared" si="13"/>
        <v>1882.6238330321844</v>
      </c>
    </row>
    <row r="49" spans="1:28" s="5" customFormat="1" ht="13.2">
      <c r="A49" s="263" t="s">
        <v>340</v>
      </c>
      <c r="B49" s="330"/>
      <c r="C49" s="374">
        <f t="shared" ref="C49:AB49" si="14">C40-C48</f>
        <v>21080.555370417511</v>
      </c>
      <c r="D49" s="374">
        <f t="shared" si="14"/>
        <v>-1637.3403899217353</v>
      </c>
      <c r="E49" s="374">
        <f t="shared" si="14"/>
        <v>-1646.8915421962788</v>
      </c>
      <c r="F49" s="374">
        <f t="shared" si="14"/>
        <v>-1656.4984095257573</v>
      </c>
      <c r="G49" s="374">
        <f t="shared" si="14"/>
        <v>-1666.1613169146576</v>
      </c>
      <c r="H49" s="374">
        <f t="shared" si="14"/>
        <v>-1675.8805912633263</v>
      </c>
      <c r="I49" s="374">
        <f t="shared" si="14"/>
        <v>-1685.6565613790292</v>
      </c>
      <c r="J49" s="374">
        <f t="shared" si="14"/>
        <v>-1695.4895579870733</v>
      </c>
      <c r="K49" s="374">
        <f t="shared" si="14"/>
        <v>-1705.3799137419983</v>
      </c>
      <c r="L49" s="374">
        <f t="shared" si="14"/>
        <v>-1715.3279632388267</v>
      </c>
      <c r="M49" s="374">
        <f t="shared" si="14"/>
        <v>-1725.3340430243863</v>
      </c>
      <c r="N49" s="374">
        <f t="shared" si="14"/>
        <v>-1735.3984916086954</v>
      </c>
      <c r="O49" s="112">
        <f>O40-O48</f>
        <v>-32781.721649476407</v>
      </c>
      <c r="P49" s="374">
        <f t="shared" si="14"/>
        <v>-1755.7038590983586</v>
      </c>
      <c r="Q49" s="374">
        <f t="shared" si="14"/>
        <v>-1765.9454649430993</v>
      </c>
      <c r="R49" s="374">
        <f t="shared" si="14"/>
        <v>-1776.2468134886003</v>
      </c>
      <c r="S49" s="374">
        <f t="shared" si="14"/>
        <v>-1786.6082532339506</v>
      </c>
      <c r="T49" s="374">
        <f t="shared" si="14"/>
        <v>-1797.0301347111488</v>
      </c>
      <c r="U49" s="374">
        <f t="shared" si="14"/>
        <v>-1807.5128104969638</v>
      </c>
      <c r="V49" s="374">
        <f t="shared" si="14"/>
        <v>-1818.0566352248629</v>
      </c>
      <c r="W49" s="374">
        <f t="shared" si="14"/>
        <v>-1828.6619655970078</v>
      </c>
      <c r="X49" s="374">
        <f t="shared" si="14"/>
        <v>-1839.3291603963239</v>
      </c>
      <c r="Y49" s="374">
        <f t="shared" si="14"/>
        <v>-1850.0585804986358</v>
      </c>
      <c r="Z49" s="374">
        <f t="shared" si="14"/>
        <v>-1860.8505888848777</v>
      </c>
      <c r="AA49" s="112">
        <f t="shared" si="14"/>
        <v>-1871.7055506533729</v>
      </c>
      <c r="AB49" s="374">
        <f t="shared" si="14"/>
        <v>-1882.6238330321844</v>
      </c>
    </row>
    <row r="50" spans="1:28" s="5" customFormat="1" ht="13.2">
      <c r="A50" s="263"/>
      <c r="B50" s="330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16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69"/>
      <c r="AB50" s="174"/>
    </row>
    <row r="51" spans="1:28" ht="13.2">
      <c r="A51" s="263" t="s">
        <v>341</v>
      </c>
      <c r="B51" s="330"/>
      <c r="C51" s="374">
        <f t="shared" ref="C51:AB51" si="15">C49+C34</f>
        <v>3667.1153704175085</v>
      </c>
      <c r="D51" s="374">
        <f t="shared" si="15"/>
        <v>-25650.780389921736</v>
      </c>
      <c r="E51" s="374">
        <f t="shared" si="15"/>
        <v>-25660.33154219628</v>
      </c>
      <c r="F51" s="374">
        <f t="shared" si="15"/>
        <v>-17007.938409525756</v>
      </c>
      <c r="G51" s="374">
        <f t="shared" si="15"/>
        <v>-27633.921316914661</v>
      </c>
      <c r="H51" s="374">
        <f t="shared" si="15"/>
        <v>16646.359408736673</v>
      </c>
      <c r="I51" s="374">
        <f t="shared" si="15"/>
        <v>12657.783438620972</v>
      </c>
      <c r="J51" s="374">
        <f t="shared" si="15"/>
        <v>42357.390442012926</v>
      </c>
      <c r="K51" s="374">
        <f t="shared" si="15"/>
        <v>31120.620086258001</v>
      </c>
      <c r="L51" s="374">
        <f t="shared" si="15"/>
        <v>31110.672036761174</v>
      </c>
      <c r="M51" s="374">
        <f t="shared" si="15"/>
        <v>31100.665956975612</v>
      </c>
      <c r="N51" s="374">
        <f t="shared" si="15"/>
        <v>31090.601508391304</v>
      </c>
      <c r="O51" s="112">
        <f>O49+O34</f>
        <v>-8926.2816494764083</v>
      </c>
      <c r="P51" s="374">
        <f>P49+P34</f>
        <v>17043.296140901628</v>
      </c>
      <c r="Q51" s="374">
        <f t="shared" si="15"/>
        <v>25078.054535056886</v>
      </c>
      <c r="R51" s="374">
        <f t="shared" si="15"/>
        <v>-1204.2468134886149</v>
      </c>
      <c r="S51" s="374">
        <f t="shared" si="15"/>
        <v>13099.791746766045</v>
      </c>
      <c r="T51" s="374">
        <f t="shared" si="15"/>
        <v>34118.809865288844</v>
      </c>
      <c r="U51" s="374">
        <f t="shared" si="15"/>
        <v>-18255.51281049697</v>
      </c>
      <c r="V51" s="374">
        <f t="shared" si="15"/>
        <v>66885.943364775158</v>
      </c>
      <c r="W51" s="374">
        <f t="shared" si="15"/>
        <v>-30036.661965597013</v>
      </c>
      <c r="X51" s="374">
        <f t="shared" si="15"/>
        <v>66864.670839603685</v>
      </c>
      <c r="Y51" s="374">
        <f t="shared" si="15"/>
        <v>-30058.058580498644</v>
      </c>
      <c r="Z51" s="374">
        <f>Z49+Z34</f>
        <v>66843.149411115141</v>
      </c>
      <c r="AA51" s="112">
        <f t="shared" si="15"/>
        <v>58743.974449346628</v>
      </c>
      <c r="AB51" s="374">
        <f t="shared" si="15"/>
        <v>185181.05616696781</v>
      </c>
    </row>
    <row r="52" spans="1:28" ht="13.2">
      <c r="A52" s="326"/>
      <c r="B52" s="17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03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110"/>
      <c r="AB52" s="244"/>
    </row>
    <row r="53" spans="1:28" ht="13.2">
      <c r="A53" s="263" t="s">
        <v>342</v>
      </c>
      <c r="B53" s="17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03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110"/>
      <c r="AB53" s="244"/>
    </row>
    <row r="54" spans="1:28" ht="13.2">
      <c r="A54" s="531" t="s">
        <v>343</v>
      </c>
      <c r="B54" s="369">
        <v>0.08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03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110"/>
      <c r="AB54" s="244"/>
    </row>
    <row r="55" spans="1:28" ht="13.2">
      <c r="A55" s="531" t="s">
        <v>344</v>
      </c>
      <c r="B55" s="369">
        <f>'Tableau simu'!B31</f>
        <v>0.1</v>
      </c>
      <c r="C55" s="43">
        <f t="shared" ref="C55:AB55" si="16">-IF((B3&lt;0),(($B$55*B3)/12),0)</f>
        <v>0</v>
      </c>
      <c r="D55" s="43">
        <f t="shared" si="16"/>
        <v>0</v>
      </c>
      <c r="E55" s="43">
        <f t="shared" si="16"/>
        <v>0</v>
      </c>
      <c r="F55" s="43">
        <f t="shared" si="16"/>
        <v>189.43752160415275</v>
      </c>
      <c r="G55" s="43">
        <f t="shared" si="16"/>
        <v>406.27461573956253</v>
      </c>
      <c r="H55" s="43">
        <f t="shared" si="16"/>
        <v>552.50702255500698</v>
      </c>
      <c r="I55" s="43">
        <f t="shared" si="16"/>
        <v>789.01573848824637</v>
      </c>
      <c r="J55" s="43">
        <f t="shared" si="16"/>
        <v>657.65972447828119</v>
      </c>
      <c r="K55" s="43">
        <f t="shared" si="16"/>
        <v>561.43128310109307</v>
      </c>
      <c r="L55" s="43">
        <f t="shared" si="16"/>
        <v>216.52954160715515</v>
      </c>
      <c r="M55" s="43">
        <f t="shared" si="16"/>
        <v>0</v>
      </c>
      <c r="N55" s="43">
        <f t="shared" si="16"/>
        <v>0</v>
      </c>
      <c r="O55" s="141">
        <f>-IF((N3&lt;0),(($B$55*N3)/12),0)</f>
        <v>0</v>
      </c>
      <c r="P55" s="43">
        <f t="shared" si="16"/>
        <v>0</v>
      </c>
      <c r="Q55" s="43">
        <f t="shared" si="16"/>
        <v>0</v>
      </c>
      <c r="R55" s="43">
        <f t="shared" si="16"/>
        <v>0</v>
      </c>
      <c r="S55" s="43">
        <f t="shared" si="16"/>
        <v>0</v>
      </c>
      <c r="T55" s="43">
        <f t="shared" si="16"/>
        <v>0</v>
      </c>
      <c r="U55" s="43">
        <f t="shared" si="16"/>
        <v>0</v>
      </c>
      <c r="V55" s="43">
        <f t="shared" si="16"/>
        <v>0</v>
      </c>
      <c r="W55" s="43">
        <f t="shared" si="16"/>
        <v>0</v>
      </c>
      <c r="X55" s="43">
        <f t="shared" si="16"/>
        <v>0</v>
      </c>
      <c r="Y55" s="43">
        <f t="shared" si="16"/>
        <v>0</v>
      </c>
      <c r="Z55" s="43">
        <f t="shared" si="16"/>
        <v>0</v>
      </c>
      <c r="AA55" s="141">
        <f t="shared" si="16"/>
        <v>0</v>
      </c>
      <c r="AB55" s="43">
        <f t="shared" si="16"/>
        <v>0</v>
      </c>
    </row>
    <row r="56" spans="1:28" ht="13.2">
      <c r="A56" s="531" t="s">
        <v>345</v>
      </c>
      <c r="B56" s="173"/>
      <c r="C56" s="43">
        <f>- IPMT(($B46/12),C2,'Tableau simu'!$B29,$B38,0,0)</f>
        <v>379.16666666666669</v>
      </c>
      <c r="D56" s="43">
        <f>- IPMT(($B46/12),D2,'Tableau simu'!$B29,$B38,0,0)</f>
        <v>369.67090632743538</v>
      </c>
      <c r="E56" s="43">
        <f>- IPMT(($B46/12),E2,'Tableau simu'!$B29,$B38,0,0)</f>
        <v>360.11975405289201</v>
      </c>
      <c r="F56" s="43">
        <f>- IPMT(($B46/12),F2,'Tableau simu'!$B29,$B38,0,0)</f>
        <v>350.51288672341343</v>
      </c>
      <c r="G56" s="43">
        <f>- IPMT(($B46/12),G2,'Tableau simu'!$B29,$B38,0,0)</f>
        <v>340.84997933451325</v>
      </c>
      <c r="H56" s="43">
        <f>- IPMT(($B46/12),H2,'Tableau simu'!$B29,$B38,0,0)</f>
        <v>331.13070498584437</v>
      </c>
      <c r="I56" s="43">
        <f>- IPMT(($B46/12),I2,'Tableau simu'!$B29,$B38,0,0)</f>
        <v>321.35473487014156</v>
      </c>
      <c r="J56" s="43">
        <f>- IPMT(($B46/12),J2,'Tableau simu'!$B29,$B38,0,0)</f>
        <v>311.52173826209736</v>
      </c>
      <c r="K56" s="43">
        <f>- IPMT(($B46/12),K2,'Tableau simu'!$B29,$B38,0,0)</f>
        <v>301.63138250717259</v>
      </c>
      <c r="L56" s="43">
        <f>- IPMT(($B46/12),L2,'Tableau simu'!$B29,$B38,0,0)</f>
        <v>291.6833330103442</v>
      </c>
      <c r="M56" s="43">
        <f>- IPMT(($B46/12),M2,'Tableau simu'!$B29,$B38,0,0)</f>
        <v>281.67725322478441</v>
      </c>
      <c r="N56" s="43">
        <f>- IPMT(($B46/12),N2,'Tableau simu'!$B29,$B38,0,0)</f>
        <v>271.61280464047536</v>
      </c>
      <c r="O56" s="141">
        <f>- IPMT(($B46/12),O2,'Tableau simu'!$B29,$B38,0,0)</f>
        <v>261.48964677275808</v>
      </c>
      <c r="P56" s="43">
        <f>- IPMT(($B46/12),P2,'Tableau simu'!$B29,$B38,0,0)</f>
        <v>251.30743715081206</v>
      </c>
      <c r="Q56" s="43">
        <f>- IPMT(($B46/12),Q2,'Tableau simu'!$B29,$B38,0,0)</f>
        <v>241.06583130607154</v>
      </c>
      <c r="R56" s="43">
        <f>- IPMT(($B46/12),R2,'Tableau simu'!$B29,$B38,0,0)</f>
        <v>230.76448276057056</v>
      </c>
      <c r="S56" s="43">
        <f>- IPMT(($B46/12),S2,'Tableau simu'!$B29,$B38,0,0)</f>
        <v>220.40304301522013</v>
      </c>
      <c r="T56" s="43">
        <f>- IPMT(($B46/12),T2,'Tableau simu'!$B29,$B38,0,0)</f>
        <v>209.98116153802192</v>
      </c>
      <c r="U56" s="43">
        <f>- IPMT(($B46/12),U2,'Tableau simu'!$B29,$B38,0,0)</f>
        <v>199.49848575220699</v>
      </c>
      <c r="V56" s="43">
        <f>- IPMT(($B46/12),V2,'Tableau simu'!$B29,$B38,0,0)</f>
        <v>188.95466102430788</v>
      </c>
      <c r="W56" s="43">
        <f>- IPMT(($B46/12),W2,'Tableau simu'!$B29,$B38,0,0)</f>
        <v>178.34933065216305</v>
      </c>
      <c r="X56" s="43">
        <f>- IPMT(($B46/12),X2,'Tableau simu'!$B29,$B38,0,0)</f>
        <v>167.68213585284684</v>
      </c>
      <c r="Y56" s="43">
        <f>- IPMT(($B46/12),Y2,'Tableau simu'!$B29,$B38,0,0)</f>
        <v>156.95271575053488</v>
      </c>
      <c r="Z56" s="43">
        <f>- IPMT(($B46/12),Z2,'Tableau simu'!$B29,$B38,0,0)</f>
        <v>146.1607073642931</v>
      </c>
      <c r="AA56" s="141">
        <f>- IPMT(($B46/12),AA2,'Tableau simu'!$B29,$B38,0,0)</f>
        <v>135.30574559579782</v>
      </c>
      <c r="AB56" s="43">
        <f>- IPMT(($B46/12),AB2,'Tableau simu'!$B29,$B38,0,0)</f>
        <v>124.38746321698628</v>
      </c>
    </row>
    <row r="57" spans="1:28" ht="13.2">
      <c r="A57" s="263" t="s">
        <v>346</v>
      </c>
      <c r="B57" s="330"/>
      <c r="C57" s="330">
        <f t="shared" ref="C57:AB57" si="17">(C51-C56)-C55</f>
        <v>3287.948703750842</v>
      </c>
      <c r="D57" s="330">
        <f t="shared" si="17"/>
        <v>-26020.451296249172</v>
      </c>
      <c r="E57" s="330">
        <f t="shared" si="17"/>
        <v>-26020.451296249172</v>
      </c>
      <c r="F57" s="330">
        <f t="shared" si="17"/>
        <v>-17547.88881785332</v>
      </c>
      <c r="G57" s="330">
        <f t="shared" si="17"/>
        <v>-28381.045911988738</v>
      </c>
      <c r="H57" s="330">
        <f t="shared" si="17"/>
        <v>15762.721681195822</v>
      </c>
      <c r="I57" s="330">
        <f t="shared" si="17"/>
        <v>11547.412965262585</v>
      </c>
      <c r="J57" s="330">
        <f t="shared" si="17"/>
        <v>41388.208979272546</v>
      </c>
      <c r="K57" s="330">
        <f t="shared" si="17"/>
        <v>30257.557420649733</v>
      </c>
      <c r="L57" s="330">
        <f t="shared" si="17"/>
        <v>30602.459162143674</v>
      </c>
      <c r="M57" s="330">
        <f t="shared" si="17"/>
        <v>30818.988703750827</v>
      </c>
      <c r="N57" s="330">
        <f t="shared" si="17"/>
        <v>30818.988703750831</v>
      </c>
      <c r="O57" s="243">
        <f t="shared" si="17"/>
        <v>-9187.771296249166</v>
      </c>
      <c r="P57" s="330">
        <f t="shared" si="17"/>
        <v>16791.988703750816</v>
      </c>
      <c r="Q57" s="330">
        <f t="shared" si="17"/>
        <v>24836.988703750816</v>
      </c>
      <c r="R57" s="330">
        <f t="shared" si="17"/>
        <v>-1435.0112962491853</v>
      </c>
      <c r="S57" s="330">
        <f t="shared" si="17"/>
        <v>12879.388703750825</v>
      </c>
      <c r="T57" s="330">
        <f t="shared" si="17"/>
        <v>33908.82870375082</v>
      </c>
      <c r="U57" s="330">
        <f t="shared" si="17"/>
        <v>-18455.011296249177</v>
      </c>
      <c r="V57" s="449">
        <f>(V51-V56)-V55</f>
        <v>66696.988703750845</v>
      </c>
      <c r="W57" s="330">
        <f t="shared" si="17"/>
        <v>-30215.011296249177</v>
      </c>
      <c r="X57" s="330">
        <f t="shared" si="17"/>
        <v>66696.988703750831</v>
      </c>
      <c r="Y57" s="330">
        <f t="shared" si="17"/>
        <v>-30215.01129624918</v>
      </c>
      <c r="Z57" s="330">
        <f t="shared" si="17"/>
        <v>66696.988703750845</v>
      </c>
      <c r="AA57" s="243">
        <f t="shared" si="17"/>
        <v>58608.668703750831</v>
      </c>
      <c r="AB57" s="330">
        <f t="shared" si="17"/>
        <v>185056.66870375082</v>
      </c>
    </row>
    <row r="58" spans="1:28" ht="13.2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</row>
    <row r="59" spans="1:28" ht="13.2">
      <c r="A59" s="168">
        <f>SUM(C46:N46)</f>
        <v>20173.203410384271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</row>
    <row r="60" spans="1:28" ht="13.2">
      <c r="A60" s="202"/>
      <c r="B60" s="168"/>
      <c r="C60" s="168"/>
      <c r="D60" s="87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</row>
    <row r="61" spans="1:28" ht="13.2">
      <c r="O61" s="383"/>
      <c r="AA61" s="383"/>
    </row>
    <row r="62" spans="1:28" ht="13.2">
      <c r="O62" s="383"/>
      <c r="AA62" s="383"/>
    </row>
    <row r="63" spans="1:28" ht="13.2">
      <c r="O63" s="383"/>
      <c r="AA63" s="383"/>
    </row>
    <row r="64" spans="1:28" ht="13.2">
      <c r="O64" s="383"/>
      <c r="AA64" s="383"/>
    </row>
    <row r="65" spans="15:27" ht="13.2">
      <c r="O65" s="383"/>
      <c r="AA65" s="383"/>
    </row>
    <row r="66" spans="15:27" ht="13.2">
      <c r="O66" s="383"/>
      <c r="AA66" s="383"/>
    </row>
    <row r="67" spans="15:27" ht="13.2">
      <c r="O67" s="383"/>
      <c r="AA67" s="383"/>
    </row>
    <row r="68" spans="15:27" ht="13.2">
      <c r="O68" s="383"/>
      <c r="AA68" s="383"/>
    </row>
    <row r="69" spans="15:27" ht="13.2">
      <c r="O69" s="383"/>
      <c r="AA69" s="383"/>
    </row>
    <row r="70" spans="15:27" ht="13.2">
      <c r="O70" s="383"/>
      <c r="AA70" s="383"/>
    </row>
    <row r="71" spans="15:27" ht="13.2">
      <c r="O71" s="383"/>
      <c r="AA71" s="383"/>
    </row>
    <row r="72" spans="15:27" ht="13.2">
      <c r="O72" s="383"/>
      <c r="AA72" s="383"/>
    </row>
    <row r="73" spans="15:27" ht="13.2">
      <c r="O73" s="383"/>
      <c r="AA73" s="383"/>
    </row>
    <row r="74" spans="15:27" ht="13.2">
      <c r="O74" s="383"/>
      <c r="AA74" s="383"/>
    </row>
    <row r="75" spans="15:27" ht="13.2">
      <c r="O75" s="383"/>
      <c r="AA75" s="383"/>
    </row>
    <row r="76" spans="15:27" ht="13.2">
      <c r="O76" s="383"/>
      <c r="AA76" s="383"/>
    </row>
    <row r="77" spans="15:27" ht="13.2">
      <c r="O77" s="383"/>
      <c r="AA77" s="383"/>
    </row>
    <row r="78" spans="15:27" ht="13.2">
      <c r="O78" s="383"/>
      <c r="AA78" s="38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Tableau simu</vt:lpstr>
      <vt:lpstr>Prod,Fact,Encaisse</vt:lpstr>
      <vt:lpstr>TEC</vt:lpstr>
      <vt:lpstr>Personnel,salaires</vt:lpstr>
      <vt:lpstr>Immo</vt:lpstr>
      <vt:lpstr>TH </vt:lpstr>
      <vt:lpstr>Budget, PV contrat</vt:lpstr>
      <vt:lpstr>TVA</vt:lpstr>
      <vt:lpstr>Trésorerie </vt:lpstr>
      <vt:lpstr>Produits </vt:lpstr>
      <vt:lpstr>Charges </vt:lpstr>
      <vt:lpstr>Passif </vt:lpstr>
      <vt:lpstr>Actif </vt:lpstr>
      <vt:lpstr>FR, BFR,CA max</vt:lpstr>
      <vt:lpstr>Plan financt</vt:lpstr>
      <vt:lpstr>Equation perf</vt:lpstr>
      <vt:lpstr>Impact Scénariste</vt:lpstr>
      <vt:lpstr>Prime DC et IRPP</vt:lpstr>
      <vt:lpstr>Diagnostic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FIGUERAS QUENTIN</cp:lastModifiedBy>
  <dcterms:modified xsi:type="dcterms:W3CDTF">2013-11-08T17:14:39Z</dcterms:modified>
</cp:coreProperties>
</file>