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0" yWindow="0" windowWidth="25600" windowHeight="15960" tabRatio="721"/>
  </bookViews>
  <sheets>
    <sheet name="Données du cas" sheetId="1" r:id="rId1"/>
    <sheet name="CA et CV" sheetId="7" r:id="rId2"/>
    <sheet name="Compte de résultat" sheetId="2" r:id="rId3"/>
    <sheet name="Bilan, FR, BFR, TR, CAF" sheetId="3" r:id="rId4"/>
    <sheet name="Plan de TVA" sheetId="5" r:id="rId5"/>
    <sheet name="Plan de trésorerie" sheetId="4" r:id="rId6"/>
    <sheet name="Perfo financière" sheetId="6" r:id="rId7"/>
  </sheets>
  <definedNames>
    <definedName name="_xlnm.Print_Area" localSheetId="0">'Données du cas'!$A$1:$B$43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4" i="7" l="1"/>
  <c r="C6" i="7"/>
  <c r="C10" i="7"/>
  <c r="C20" i="7"/>
  <c r="D6" i="7"/>
  <c r="D10" i="7"/>
  <c r="D20" i="7"/>
  <c r="E6" i="7"/>
  <c r="F6" i="7"/>
  <c r="G6" i="7"/>
  <c r="H6" i="7"/>
  <c r="I6" i="7"/>
  <c r="J6" i="7"/>
  <c r="K6" i="7"/>
  <c r="L6" i="7"/>
  <c r="M6" i="7"/>
  <c r="N6" i="7"/>
  <c r="O6" i="7"/>
  <c r="B33" i="2"/>
  <c r="C33" i="2"/>
  <c r="E10" i="7"/>
  <c r="F10" i="7"/>
  <c r="G10" i="7"/>
  <c r="H10" i="7"/>
  <c r="I10" i="7"/>
  <c r="J10" i="7"/>
  <c r="K10" i="7"/>
  <c r="L10" i="7"/>
  <c r="M10" i="7"/>
  <c r="N10" i="7"/>
  <c r="O10" i="7"/>
  <c r="B25" i="2"/>
  <c r="D33" i="2"/>
  <c r="B34" i="2"/>
  <c r="C34" i="2"/>
  <c r="D34" i="2"/>
  <c r="B55" i="2"/>
  <c r="C48" i="2"/>
  <c r="D48" i="2"/>
  <c r="C55" i="2"/>
  <c r="D55" i="2"/>
  <c r="B63" i="2"/>
  <c r="C63" i="2"/>
  <c r="D63" i="2"/>
  <c r="D79" i="2"/>
  <c r="B22" i="7"/>
  <c r="D22" i="7"/>
  <c r="B54" i="2"/>
  <c r="E48" i="2"/>
  <c r="E54" i="2"/>
  <c r="B56" i="2"/>
  <c r="E56" i="2"/>
  <c r="B65" i="2"/>
  <c r="B64" i="2"/>
  <c r="E64" i="2"/>
  <c r="B34" i="1"/>
  <c r="B40" i="1"/>
  <c r="B41" i="1"/>
  <c r="B37" i="1"/>
  <c r="B44" i="1"/>
  <c r="B70" i="2"/>
  <c r="E70" i="2"/>
  <c r="G3" i="3"/>
  <c r="I3" i="3"/>
  <c r="G4" i="3"/>
  <c r="I4" i="3"/>
  <c r="G5" i="3"/>
  <c r="I5" i="3"/>
  <c r="G6" i="3"/>
  <c r="I6" i="3"/>
  <c r="G7" i="3"/>
  <c r="I7" i="3"/>
  <c r="G8" i="3"/>
  <c r="I8" i="3"/>
  <c r="G9" i="3"/>
  <c r="I9" i="3"/>
  <c r="G10" i="3"/>
  <c r="I10" i="3"/>
  <c r="G11" i="3"/>
  <c r="I11" i="3"/>
  <c r="G12" i="3"/>
  <c r="I12" i="3"/>
  <c r="G13" i="3"/>
  <c r="I13" i="3"/>
  <c r="G14" i="3"/>
  <c r="I14" i="3"/>
  <c r="B74" i="2"/>
  <c r="E74" i="2"/>
  <c r="C26" i="4"/>
  <c r="C3" i="3"/>
  <c r="B10" i="4"/>
  <c r="B11" i="4"/>
  <c r="B13" i="4"/>
  <c r="B15" i="4"/>
  <c r="B17" i="4"/>
  <c r="B18" i="4"/>
  <c r="B22" i="4"/>
  <c r="B23" i="4"/>
  <c r="B24" i="4"/>
  <c r="B25" i="4"/>
  <c r="B27" i="4"/>
  <c r="B28" i="4"/>
  <c r="B29" i="4"/>
  <c r="C3" i="4"/>
  <c r="D26" i="4"/>
  <c r="C13" i="4"/>
  <c r="C15" i="4"/>
  <c r="C18" i="4"/>
  <c r="C20" i="4"/>
  <c r="C22" i="4"/>
  <c r="C23" i="4"/>
  <c r="C24" i="4"/>
  <c r="C25" i="4"/>
  <c r="C12" i="7"/>
  <c r="B3" i="5"/>
  <c r="B4" i="5"/>
  <c r="C7" i="5"/>
  <c r="C8" i="5"/>
  <c r="B14" i="5"/>
  <c r="B6" i="4"/>
  <c r="B12" i="5"/>
  <c r="B15" i="5"/>
  <c r="B16" i="5"/>
  <c r="C18" i="5"/>
  <c r="C21" i="5"/>
  <c r="C27" i="4"/>
  <c r="C28" i="4"/>
  <c r="C29" i="4"/>
  <c r="D3" i="4"/>
  <c r="E26" i="4"/>
  <c r="D12" i="7"/>
  <c r="C3" i="5"/>
  <c r="C4" i="5"/>
  <c r="D6" i="5"/>
  <c r="D12" i="4"/>
  <c r="D13" i="4"/>
  <c r="D15" i="4"/>
  <c r="E15" i="7"/>
  <c r="E7" i="7"/>
  <c r="E8" i="7"/>
  <c r="E16" i="7"/>
  <c r="E17" i="7"/>
  <c r="D7" i="4"/>
  <c r="D16" i="4"/>
  <c r="D18" i="4"/>
  <c r="D19" i="4"/>
  <c r="D20" i="4"/>
  <c r="D22" i="4"/>
  <c r="D23" i="4"/>
  <c r="D24" i="4"/>
  <c r="D25" i="4"/>
  <c r="D7" i="5"/>
  <c r="D8" i="5"/>
  <c r="C6" i="4"/>
  <c r="C12" i="5"/>
  <c r="C16" i="5"/>
  <c r="D18" i="5"/>
  <c r="D21" i="5"/>
  <c r="D27" i="4"/>
  <c r="D28" i="4"/>
  <c r="D29" i="4"/>
  <c r="E3" i="4"/>
  <c r="F26" i="4"/>
  <c r="E11" i="7"/>
  <c r="E12" i="7"/>
  <c r="D3" i="5"/>
  <c r="D4" i="5"/>
  <c r="E6" i="5"/>
  <c r="E12" i="4"/>
  <c r="E13" i="4"/>
  <c r="E15" i="4"/>
  <c r="F15" i="7"/>
  <c r="F7" i="7"/>
  <c r="F8" i="7"/>
  <c r="F16" i="7"/>
  <c r="F17" i="7"/>
  <c r="E7" i="4"/>
  <c r="E16" i="4"/>
  <c r="E18" i="4"/>
  <c r="E19" i="4"/>
  <c r="E20" i="4"/>
  <c r="E21" i="4"/>
  <c r="E22" i="4"/>
  <c r="E23" i="4"/>
  <c r="E24" i="4"/>
  <c r="E25" i="4"/>
  <c r="E7" i="5"/>
  <c r="E8" i="5"/>
  <c r="D6" i="4"/>
  <c r="D12" i="5"/>
  <c r="D16" i="5"/>
  <c r="E18" i="5"/>
  <c r="E21" i="5"/>
  <c r="E27" i="4"/>
  <c r="E28" i="4"/>
  <c r="E29" i="4"/>
  <c r="F3" i="4"/>
  <c r="G26" i="4"/>
  <c r="F11" i="7"/>
  <c r="F12" i="7"/>
  <c r="E3" i="5"/>
  <c r="E4" i="5"/>
  <c r="F6" i="5"/>
  <c r="F12" i="4"/>
  <c r="F13" i="4"/>
  <c r="F15" i="4"/>
  <c r="G15" i="7"/>
  <c r="G7" i="7"/>
  <c r="G8" i="7"/>
  <c r="G16" i="7"/>
  <c r="G17" i="7"/>
  <c r="F7" i="4"/>
  <c r="F16" i="4"/>
  <c r="F18" i="4"/>
  <c r="F19" i="4"/>
  <c r="F20" i="4"/>
  <c r="F21" i="4"/>
  <c r="F22" i="4"/>
  <c r="F23" i="4"/>
  <c r="F24" i="4"/>
  <c r="F25" i="4"/>
  <c r="F7" i="5"/>
  <c r="F8" i="5"/>
  <c r="E6" i="4"/>
  <c r="E12" i="5"/>
  <c r="E16" i="5"/>
  <c r="F18" i="5"/>
  <c r="F21" i="5"/>
  <c r="F27" i="4"/>
  <c r="F28" i="4"/>
  <c r="F29" i="4"/>
  <c r="G3" i="4"/>
  <c r="H26" i="4"/>
  <c r="G11" i="7"/>
  <c r="G12" i="7"/>
  <c r="F3" i="5"/>
  <c r="F4" i="5"/>
  <c r="G6" i="5"/>
  <c r="G12" i="4"/>
  <c r="G13" i="4"/>
  <c r="G15" i="4"/>
  <c r="H15" i="7"/>
  <c r="H7" i="7"/>
  <c r="H8" i="7"/>
  <c r="H16" i="7"/>
  <c r="H17" i="7"/>
  <c r="G7" i="4"/>
  <c r="G16" i="4"/>
  <c r="G18" i="4"/>
  <c r="G19" i="4"/>
  <c r="G20" i="4"/>
  <c r="G21" i="4"/>
  <c r="G22" i="4"/>
  <c r="G23" i="4"/>
  <c r="G24" i="4"/>
  <c r="G25" i="4"/>
  <c r="G7" i="5"/>
  <c r="G8" i="5"/>
  <c r="F6" i="4"/>
  <c r="F12" i="5"/>
  <c r="F16" i="5"/>
  <c r="G18" i="5"/>
  <c r="G21" i="5"/>
  <c r="G27" i="4"/>
  <c r="G28" i="4"/>
  <c r="G29" i="4"/>
  <c r="H3" i="4"/>
  <c r="I26" i="4"/>
  <c r="H11" i="7"/>
  <c r="H12" i="7"/>
  <c r="G3" i="5"/>
  <c r="G4" i="5"/>
  <c r="H6" i="5"/>
  <c r="H12" i="4"/>
  <c r="H13" i="4"/>
  <c r="H15" i="4"/>
  <c r="I15" i="7"/>
  <c r="I7" i="7"/>
  <c r="I8" i="7"/>
  <c r="I16" i="7"/>
  <c r="I17" i="7"/>
  <c r="H7" i="4"/>
  <c r="H16" i="4"/>
  <c r="H18" i="4"/>
  <c r="H19" i="4"/>
  <c r="H20" i="4"/>
  <c r="H21" i="4"/>
  <c r="H22" i="4"/>
  <c r="H23" i="4"/>
  <c r="H24" i="4"/>
  <c r="H25" i="4"/>
  <c r="H7" i="5"/>
  <c r="H8" i="5"/>
  <c r="G6" i="4"/>
  <c r="G12" i="5"/>
  <c r="G16" i="5"/>
  <c r="H18" i="5"/>
  <c r="H21" i="5"/>
  <c r="H27" i="4"/>
  <c r="H28" i="4"/>
  <c r="H29" i="4"/>
  <c r="I3" i="4"/>
  <c r="J26" i="4"/>
  <c r="I11" i="7"/>
  <c r="I12" i="7"/>
  <c r="H3" i="5"/>
  <c r="H4" i="5"/>
  <c r="I6" i="5"/>
  <c r="I12" i="4"/>
  <c r="I13" i="4"/>
  <c r="I15" i="4"/>
  <c r="J15" i="7"/>
  <c r="J7" i="7"/>
  <c r="J8" i="7"/>
  <c r="J16" i="7"/>
  <c r="J17" i="7"/>
  <c r="I7" i="4"/>
  <c r="I16" i="4"/>
  <c r="I18" i="4"/>
  <c r="I19" i="4"/>
  <c r="I20" i="4"/>
  <c r="I21" i="4"/>
  <c r="I22" i="4"/>
  <c r="I23" i="4"/>
  <c r="I24" i="4"/>
  <c r="I25" i="4"/>
  <c r="I7" i="5"/>
  <c r="I8" i="5"/>
  <c r="H6" i="4"/>
  <c r="H12" i="5"/>
  <c r="H16" i="5"/>
  <c r="I18" i="5"/>
  <c r="I21" i="5"/>
  <c r="I27" i="4"/>
  <c r="I28" i="4"/>
  <c r="I29" i="4"/>
  <c r="J3" i="4"/>
  <c r="K26" i="4"/>
  <c r="J11" i="7"/>
  <c r="J12" i="7"/>
  <c r="I3" i="5"/>
  <c r="I4" i="5"/>
  <c r="J6" i="5"/>
  <c r="J12" i="4"/>
  <c r="J13" i="4"/>
  <c r="J15" i="4"/>
  <c r="K15" i="7"/>
  <c r="K7" i="7"/>
  <c r="K8" i="7"/>
  <c r="K16" i="7"/>
  <c r="K17" i="7"/>
  <c r="J7" i="4"/>
  <c r="J16" i="4"/>
  <c r="J18" i="4"/>
  <c r="J19" i="4"/>
  <c r="J20" i="4"/>
  <c r="J21" i="4"/>
  <c r="J22" i="4"/>
  <c r="J23" i="4"/>
  <c r="J24" i="4"/>
  <c r="J25" i="4"/>
  <c r="J7" i="5"/>
  <c r="J8" i="5"/>
  <c r="I6" i="4"/>
  <c r="I12" i="5"/>
  <c r="I16" i="5"/>
  <c r="J18" i="5"/>
  <c r="J21" i="5"/>
  <c r="J27" i="4"/>
  <c r="J28" i="4"/>
  <c r="J29" i="4"/>
  <c r="K3" i="4"/>
  <c r="L26" i="4"/>
  <c r="K11" i="7"/>
  <c r="K12" i="7"/>
  <c r="J3" i="5"/>
  <c r="J4" i="5"/>
  <c r="K6" i="5"/>
  <c r="K12" i="4"/>
  <c r="K13" i="4"/>
  <c r="K15" i="4"/>
  <c r="L15" i="7"/>
  <c r="L7" i="7"/>
  <c r="L8" i="7"/>
  <c r="L16" i="7"/>
  <c r="L17" i="7"/>
  <c r="K7" i="4"/>
  <c r="K16" i="4"/>
  <c r="K18" i="4"/>
  <c r="K19" i="4"/>
  <c r="K20" i="4"/>
  <c r="K21" i="4"/>
  <c r="K22" i="4"/>
  <c r="K23" i="4"/>
  <c r="K24" i="4"/>
  <c r="K25" i="4"/>
  <c r="K7" i="5"/>
  <c r="K8" i="5"/>
  <c r="J6" i="4"/>
  <c r="J12" i="5"/>
  <c r="J16" i="5"/>
  <c r="K18" i="5"/>
  <c r="K21" i="5"/>
  <c r="K27" i="4"/>
  <c r="K28" i="4"/>
  <c r="K29" i="4"/>
  <c r="L3" i="4"/>
  <c r="M26" i="4"/>
  <c r="L11" i="7"/>
  <c r="L12" i="7"/>
  <c r="K3" i="5"/>
  <c r="K4" i="5"/>
  <c r="L6" i="5"/>
  <c r="L12" i="4"/>
  <c r="L13" i="4"/>
  <c r="L15" i="4"/>
  <c r="M15" i="7"/>
  <c r="M7" i="7"/>
  <c r="M8" i="7"/>
  <c r="M16" i="7"/>
  <c r="M17" i="7"/>
  <c r="L7" i="4"/>
  <c r="L16" i="4"/>
  <c r="L18" i="4"/>
  <c r="L19" i="4"/>
  <c r="L20" i="4"/>
  <c r="L21" i="4"/>
  <c r="L22" i="4"/>
  <c r="L23" i="4"/>
  <c r="L24" i="4"/>
  <c r="L25" i="4"/>
  <c r="L7" i="5"/>
  <c r="L8" i="5"/>
  <c r="K6" i="4"/>
  <c r="K12" i="5"/>
  <c r="K16" i="5"/>
  <c r="L18" i="5"/>
  <c r="L21" i="5"/>
  <c r="L27" i="4"/>
  <c r="L28" i="4"/>
  <c r="L29" i="4"/>
  <c r="M3" i="4"/>
  <c r="B75" i="2"/>
  <c r="E75" i="2"/>
  <c r="E79" i="2"/>
  <c r="B23" i="7"/>
  <c r="D24" i="7"/>
  <c r="E20" i="7"/>
  <c r="E22" i="7"/>
  <c r="E24" i="7"/>
  <c r="F20" i="7"/>
  <c r="F22" i="7"/>
  <c r="F24" i="7"/>
  <c r="G20" i="7"/>
  <c r="G22" i="7"/>
  <c r="G24" i="7"/>
  <c r="H20" i="7"/>
  <c r="H22" i="7"/>
  <c r="H24" i="7"/>
  <c r="I20" i="7"/>
  <c r="I22" i="7"/>
  <c r="I24" i="7"/>
  <c r="J20" i="7"/>
  <c r="J22" i="7"/>
  <c r="J24" i="7"/>
  <c r="K20" i="7"/>
  <c r="K22" i="7"/>
  <c r="K24" i="7"/>
  <c r="L20" i="7"/>
  <c r="L22" i="7"/>
  <c r="L24" i="7"/>
  <c r="M20" i="7"/>
  <c r="M22" i="7"/>
  <c r="M24" i="7"/>
  <c r="N20" i="7"/>
  <c r="N22" i="7"/>
  <c r="N24" i="7"/>
  <c r="C22" i="7"/>
  <c r="C24" i="7"/>
  <c r="L6" i="4"/>
  <c r="L12" i="5"/>
  <c r="L16" i="5"/>
  <c r="M18" i="5"/>
  <c r="M6" i="4"/>
  <c r="M12" i="5"/>
  <c r="M16" i="5"/>
  <c r="M11" i="7"/>
  <c r="M12" i="7"/>
  <c r="L3" i="5"/>
  <c r="L4" i="5"/>
  <c r="M7" i="5"/>
  <c r="M8" i="5"/>
  <c r="M19" i="5"/>
  <c r="C44" i="3"/>
  <c r="M15" i="4"/>
  <c r="C12" i="3"/>
  <c r="M6" i="5"/>
  <c r="M12" i="4"/>
  <c r="M13" i="4"/>
  <c r="M13" i="7"/>
  <c r="L5" i="4"/>
  <c r="N7" i="7"/>
  <c r="N8" i="7"/>
  <c r="N11" i="7"/>
  <c r="N12" i="7"/>
  <c r="N13" i="7"/>
  <c r="M5" i="4"/>
  <c r="C43" i="3"/>
  <c r="C6" i="5"/>
  <c r="M3" i="5"/>
  <c r="M4" i="5"/>
  <c r="E13" i="7"/>
  <c r="D5" i="4"/>
  <c r="F13" i="7"/>
  <c r="E5" i="4"/>
  <c r="G13" i="7"/>
  <c r="F5" i="4"/>
  <c r="H13" i="7"/>
  <c r="G5" i="4"/>
  <c r="I13" i="7"/>
  <c r="H5" i="4"/>
  <c r="J13" i="7"/>
  <c r="I5" i="4"/>
  <c r="K13" i="7"/>
  <c r="J5" i="4"/>
  <c r="L13" i="7"/>
  <c r="K5" i="4"/>
  <c r="C79" i="2"/>
  <c r="B21" i="7"/>
  <c r="B25" i="7"/>
  <c r="B26" i="7"/>
  <c r="N3" i="5"/>
  <c r="B48" i="2"/>
  <c r="O11" i="7"/>
  <c r="B69" i="2"/>
  <c r="B71" i="2"/>
  <c r="C13" i="7"/>
  <c r="D13" i="7"/>
  <c r="O13" i="7"/>
  <c r="B24" i="5"/>
  <c r="O12" i="7"/>
  <c r="B23" i="5"/>
  <c r="B25" i="5"/>
  <c r="B28" i="5"/>
  <c r="B29" i="5"/>
  <c r="B30" i="5"/>
  <c r="B34" i="5"/>
  <c r="M21" i="5"/>
  <c r="M27" i="4"/>
  <c r="B35" i="5"/>
  <c r="B36" i="5"/>
  <c r="O7" i="7"/>
  <c r="B26" i="5"/>
  <c r="B27" i="5"/>
  <c r="C15" i="3"/>
  <c r="B31" i="5"/>
  <c r="B32" i="5"/>
  <c r="N21" i="5"/>
  <c r="C11" i="3"/>
  <c r="B77" i="2"/>
  <c r="B79" i="2"/>
  <c r="B5" i="2"/>
  <c r="B9" i="2"/>
  <c r="B19" i="2"/>
  <c r="B80" i="2"/>
  <c r="B82" i="2"/>
  <c r="C13" i="3"/>
  <c r="B5" i="5"/>
  <c r="C5" i="5"/>
  <c r="D5" i="5"/>
  <c r="E5" i="5"/>
  <c r="F5" i="5"/>
  <c r="G5" i="5"/>
  <c r="H5" i="5"/>
  <c r="I5" i="5"/>
  <c r="J5" i="5"/>
  <c r="K5" i="5"/>
  <c r="L5" i="5"/>
  <c r="M5" i="5"/>
  <c r="M9" i="5"/>
  <c r="B84" i="2"/>
  <c r="C16" i="3"/>
  <c r="M20" i="4"/>
  <c r="M21" i="4"/>
  <c r="C14" i="3"/>
  <c r="C10" i="3"/>
  <c r="C6" i="3"/>
  <c r="N16" i="7"/>
  <c r="N15" i="7"/>
  <c r="N17" i="7"/>
  <c r="M7" i="4"/>
  <c r="M16" i="4"/>
  <c r="M18" i="4"/>
  <c r="M19" i="4"/>
  <c r="M22" i="4"/>
  <c r="M23" i="4"/>
  <c r="M24" i="4"/>
  <c r="M25" i="4"/>
  <c r="M28" i="4"/>
  <c r="M29" i="4"/>
  <c r="N3" i="4"/>
  <c r="C18" i="3"/>
  <c r="K3" i="3"/>
  <c r="F3" i="3"/>
  <c r="J3" i="3"/>
  <c r="F4" i="3"/>
  <c r="J4" i="3"/>
  <c r="F5" i="3"/>
  <c r="J5" i="3"/>
  <c r="F6" i="3"/>
  <c r="J6" i="3"/>
  <c r="F7" i="3"/>
  <c r="J7" i="3"/>
  <c r="F8" i="3"/>
  <c r="J8" i="3"/>
  <c r="F9" i="3"/>
  <c r="J9" i="3"/>
  <c r="F10" i="3"/>
  <c r="J10" i="3"/>
  <c r="F11" i="3"/>
  <c r="J11" i="3"/>
  <c r="F12" i="3"/>
  <c r="J12" i="3"/>
  <c r="F13" i="3"/>
  <c r="J13" i="3"/>
  <c r="F14" i="3"/>
  <c r="J14" i="3"/>
  <c r="K14" i="3"/>
  <c r="C9" i="3"/>
  <c r="C20" i="3"/>
  <c r="C37" i="3"/>
  <c r="C46" i="3"/>
  <c r="C31" i="3"/>
  <c r="C24" i="3"/>
  <c r="C48" i="3"/>
  <c r="O16" i="7"/>
  <c r="O8" i="7"/>
  <c r="B21" i="2"/>
  <c r="B24" i="2"/>
  <c r="C51" i="3"/>
  <c r="D4" i="4"/>
  <c r="E4" i="4"/>
  <c r="F4" i="4"/>
  <c r="G4" i="4"/>
  <c r="H4" i="4"/>
  <c r="I4" i="4"/>
  <c r="J4" i="4"/>
  <c r="K4" i="4"/>
  <c r="L4" i="4"/>
  <c r="M4" i="4"/>
  <c r="O15" i="7"/>
  <c r="O17" i="7"/>
  <c r="B5" i="4"/>
  <c r="C5" i="4"/>
  <c r="C15" i="7"/>
  <c r="D15" i="7"/>
  <c r="B7" i="4"/>
  <c r="C7" i="4"/>
  <c r="B86" i="2"/>
  <c r="B87" i="2"/>
  <c r="B26" i="2"/>
  <c r="C7" i="7"/>
  <c r="C8" i="7"/>
  <c r="D7" i="7"/>
  <c r="D8" i="7"/>
  <c r="B8" i="7"/>
  <c r="C4" i="6"/>
  <c r="F7" i="6"/>
  <c r="C16" i="6"/>
  <c r="F6" i="6"/>
  <c r="F5" i="6"/>
  <c r="C5" i="6"/>
  <c r="F4" i="6"/>
  <c r="O5" i="7"/>
  <c r="E15" i="5"/>
  <c r="F15" i="5"/>
  <c r="G15" i="5"/>
  <c r="H15" i="5"/>
  <c r="I15" i="5"/>
  <c r="J15" i="5"/>
  <c r="K15" i="5"/>
  <c r="L15" i="5"/>
  <c r="M15" i="5"/>
  <c r="D15" i="5"/>
  <c r="C15" i="5"/>
  <c r="C24" i="6"/>
  <c r="C17" i="6"/>
  <c r="C21" i="6"/>
  <c r="C19" i="6"/>
  <c r="C5" i="3"/>
  <c r="C58" i="3"/>
  <c r="C57" i="3"/>
  <c r="C56" i="3"/>
  <c r="C55" i="3"/>
  <c r="C54" i="3"/>
  <c r="C53" i="3"/>
  <c r="C12" i="6"/>
  <c r="C13" i="6"/>
  <c r="C6" i="6"/>
  <c r="C9" i="6"/>
  <c r="C10" i="6"/>
  <c r="C8" i="6"/>
  <c r="C11" i="6"/>
  <c r="C23" i="6"/>
  <c r="C22" i="6"/>
  <c r="C20" i="6"/>
  <c r="C14" i="6"/>
  <c r="F15" i="3"/>
  <c r="J15" i="3"/>
  <c r="F16" i="3"/>
  <c r="J16" i="3"/>
  <c r="F17" i="3"/>
  <c r="J17" i="3"/>
  <c r="F18" i="3"/>
  <c r="J18" i="3"/>
  <c r="F19" i="3"/>
  <c r="J19" i="3"/>
  <c r="F20" i="3"/>
  <c r="J20" i="3"/>
  <c r="F21" i="3"/>
  <c r="J21" i="3"/>
  <c r="F22" i="3"/>
  <c r="J22" i="3"/>
  <c r="F23" i="3"/>
  <c r="J23" i="3"/>
  <c r="F24" i="3"/>
  <c r="J24" i="3"/>
  <c r="F25" i="3"/>
  <c r="J25" i="3"/>
  <c r="F26" i="3"/>
  <c r="J26" i="3"/>
  <c r="F27" i="3"/>
  <c r="J27" i="3"/>
  <c r="F28" i="3"/>
  <c r="J28" i="3"/>
  <c r="F29" i="3"/>
  <c r="J29" i="3"/>
  <c r="F30" i="3"/>
  <c r="J30" i="3"/>
  <c r="F31" i="3"/>
  <c r="J31" i="3"/>
  <c r="F32" i="3"/>
  <c r="J32" i="3"/>
  <c r="F33" i="3"/>
  <c r="J33" i="3"/>
  <c r="F34" i="3"/>
  <c r="J34" i="3"/>
  <c r="F35" i="3"/>
  <c r="J35" i="3"/>
  <c r="F36" i="3"/>
  <c r="J36" i="3"/>
  <c r="K36" i="3"/>
  <c r="K39" i="3"/>
  <c r="K40" i="3"/>
  <c r="K41" i="3"/>
  <c r="K42" i="3"/>
  <c r="H3" i="3"/>
  <c r="H4" i="3"/>
  <c r="K4" i="3"/>
  <c r="H5" i="3"/>
  <c r="K5" i="3"/>
  <c r="H6" i="3"/>
  <c r="K6" i="3"/>
  <c r="H7" i="3"/>
  <c r="K7" i="3"/>
  <c r="H8" i="3"/>
  <c r="K8" i="3"/>
  <c r="H9" i="3"/>
  <c r="K9" i="3"/>
  <c r="H10" i="3"/>
  <c r="K10" i="3"/>
  <c r="H11" i="3"/>
  <c r="K11" i="3"/>
  <c r="H12" i="3"/>
  <c r="K12" i="3"/>
  <c r="H13" i="3"/>
  <c r="K13" i="3"/>
  <c r="H14" i="3"/>
  <c r="G15" i="3"/>
  <c r="H15" i="3"/>
  <c r="I15" i="3"/>
  <c r="K15" i="3"/>
  <c r="G16" i="3"/>
  <c r="H16" i="3"/>
  <c r="I16" i="3"/>
  <c r="K16" i="3"/>
  <c r="G17" i="3"/>
  <c r="H17" i="3"/>
  <c r="I17" i="3"/>
  <c r="K17" i="3"/>
  <c r="G18" i="3"/>
  <c r="H18" i="3"/>
  <c r="I18" i="3"/>
  <c r="K18" i="3"/>
  <c r="G19" i="3"/>
  <c r="H19" i="3"/>
  <c r="I19" i="3"/>
  <c r="K19" i="3"/>
  <c r="G20" i="3"/>
  <c r="H20" i="3"/>
  <c r="I20" i="3"/>
  <c r="K20" i="3"/>
  <c r="G21" i="3"/>
  <c r="H21" i="3"/>
  <c r="I21" i="3"/>
  <c r="K21" i="3"/>
  <c r="G22" i="3"/>
  <c r="H22" i="3"/>
  <c r="I22" i="3"/>
  <c r="K22" i="3"/>
  <c r="G23" i="3"/>
  <c r="H23" i="3"/>
  <c r="I23" i="3"/>
  <c r="K23" i="3"/>
  <c r="G24" i="3"/>
  <c r="H24" i="3"/>
  <c r="I24" i="3"/>
  <c r="K24" i="3"/>
  <c r="G25" i="3"/>
  <c r="H25" i="3"/>
  <c r="I25" i="3"/>
  <c r="K25" i="3"/>
  <c r="G26" i="3"/>
  <c r="H26" i="3"/>
  <c r="I26" i="3"/>
  <c r="K26" i="3"/>
  <c r="G27" i="3"/>
  <c r="H27" i="3"/>
  <c r="I27" i="3"/>
  <c r="K27" i="3"/>
  <c r="G28" i="3"/>
  <c r="H28" i="3"/>
  <c r="I28" i="3"/>
  <c r="K28" i="3"/>
  <c r="G29" i="3"/>
  <c r="H29" i="3"/>
  <c r="I29" i="3"/>
  <c r="K29" i="3"/>
  <c r="G30" i="3"/>
  <c r="H30" i="3"/>
  <c r="I30" i="3"/>
  <c r="K30" i="3"/>
  <c r="G31" i="3"/>
  <c r="H31" i="3"/>
  <c r="I31" i="3"/>
  <c r="K31" i="3"/>
  <c r="G32" i="3"/>
  <c r="H32" i="3"/>
  <c r="I32" i="3"/>
  <c r="K32" i="3"/>
  <c r="G33" i="3"/>
  <c r="H33" i="3"/>
  <c r="I33" i="3"/>
  <c r="K33" i="3"/>
  <c r="G34" i="3"/>
  <c r="H34" i="3"/>
  <c r="I34" i="3"/>
  <c r="K34" i="3"/>
  <c r="G35" i="3"/>
  <c r="H35" i="3"/>
  <c r="I35" i="3"/>
  <c r="K35" i="3"/>
  <c r="G36" i="3"/>
  <c r="H36" i="3"/>
  <c r="I36" i="3"/>
  <c r="O39" i="3"/>
  <c r="Q39" i="3"/>
  <c r="O40" i="3"/>
  <c r="Q40" i="3"/>
  <c r="O41" i="3"/>
  <c r="Q41" i="3"/>
  <c r="O42" i="3"/>
  <c r="Q42" i="3"/>
  <c r="B31" i="1"/>
  <c r="B8" i="4"/>
  <c r="B72" i="2"/>
  <c r="K17" i="5"/>
  <c r="G17" i="5"/>
  <c r="J17" i="5"/>
  <c r="F17" i="5"/>
  <c r="M17" i="5"/>
  <c r="I17" i="5"/>
  <c r="E17" i="5"/>
  <c r="L17" i="5"/>
  <c r="H17" i="5"/>
  <c r="D17" i="5"/>
  <c r="C17" i="5"/>
  <c r="C50" i="3"/>
  <c r="C52" i="3"/>
</calcChain>
</file>

<file path=xl/sharedStrings.xml><?xml version="1.0" encoding="utf-8"?>
<sst xmlns="http://schemas.openxmlformats.org/spreadsheetml/2006/main" count="407" uniqueCount="364">
  <si>
    <t>ACTIF</t>
  </si>
  <si>
    <t>PASSIF</t>
  </si>
  <si>
    <t>Charges sociales payées mensuellement</t>
  </si>
  <si>
    <t>Nbre d'associés</t>
  </si>
  <si>
    <t>Valeurs</t>
  </si>
  <si>
    <t>Capital par associé</t>
  </si>
  <si>
    <t xml:space="preserve">Prix de vente d'une journée x intervenant </t>
  </si>
  <si>
    <t>Taux de TVA</t>
  </si>
  <si>
    <t>Délai d'amortissement linéaire du matériel en années</t>
  </si>
  <si>
    <t>Nbre de journées de présence par personne et par an</t>
  </si>
  <si>
    <t>Code</t>
  </si>
  <si>
    <t>Impôts sur bénéfices en % du résultat avant impôts</t>
  </si>
  <si>
    <t>Données du cas</t>
  </si>
  <si>
    <t>Durée de remboursement du Prêt bancaire en mois</t>
  </si>
  <si>
    <t>Montant</t>
  </si>
  <si>
    <t>PRODUITS (hors taxes) Classe 7</t>
  </si>
  <si>
    <t>Produits d'exploitation</t>
  </si>
  <si>
    <t>Ventes de marchandises</t>
  </si>
  <si>
    <t>Production vendue (biens et services) CA facturé HT</t>
  </si>
  <si>
    <t>Production immobilisée (de l'entreprise pour elle-même)</t>
  </si>
  <si>
    <t>Subventions d'exploitation</t>
  </si>
  <si>
    <t>Total des produits d'exploitation (I)</t>
  </si>
  <si>
    <t>Produits financiers</t>
  </si>
  <si>
    <t>De participations</t>
  </si>
  <si>
    <t>D'autres valeurs mobilières et créances de l'actif immobilisé</t>
  </si>
  <si>
    <t>Autres intérêts et produits assimilés</t>
  </si>
  <si>
    <t>Différences positives de change</t>
  </si>
  <si>
    <t>Produits nets sur cessions de valeur mobilières de placement</t>
  </si>
  <si>
    <t>Total des produits financiers (II)</t>
  </si>
  <si>
    <t>Total des produits (I + II)</t>
  </si>
  <si>
    <t>Solde débiteur = perte</t>
  </si>
  <si>
    <t>TOTAL GENERAL</t>
  </si>
  <si>
    <t>CHARGES (hors taxes) Classe 6</t>
  </si>
  <si>
    <t>Charges d'exploitation</t>
  </si>
  <si>
    <t>Achats de marchandises</t>
  </si>
  <si>
    <t>Variation de stock (stock initial - stock final)</t>
  </si>
  <si>
    <t>Achats de matières premières et autres approvisionnements</t>
  </si>
  <si>
    <t>Redevances de crédit-bail</t>
  </si>
  <si>
    <t>Loyers et charges locatives</t>
  </si>
  <si>
    <t>EDF-GDF, Eau</t>
  </si>
  <si>
    <t>Petit matériel</t>
  </si>
  <si>
    <t>Fournitures de bureau</t>
  </si>
  <si>
    <t>Entretien et réparations</t>
  </si>
  <si>
    <t>Assurances</t>
  </si>
  <si>
    <t>Documentation et frais de colloques, séminaires</t>
  </si>
  <si>
    <t>Personnel intérimaire</t>
  </si>
  <si>
    <t>Honoraires</t>
  </si>
  <si>
    <t>Publicité, publications, relations publiques</t>
  </si>
  <si>
    <t>Déplacement, missions et réceptions</t>
  </si>
  <si>
    <t>Frais postaux et de télécommunications</t>
  </si>
  <si>
    <t xml:space="preserve">Impôts et taxes </t>
  </si>
  <si>
    <t>Taxe d'apprentissage</t>
  </si>
  <si>
    <t>Participation à la formation professionnelle continue</t>
  </si>
  <si>
    <t>Participation des employeurs à l'effort de construction</t>
  </si>
  <si>
    <t>Taxe sur les véhicules de société</t>
  </si>
  <si>
    <t>URSSAF</t>
  </si>
  <si>
    <t>Mutuelle et prévoyance</t>
  </si>
  <si>
    <t>Caisse de retraite complémentaire ARCCO</t>
  </si>
  <si>
    <t>Caisse de retraite des cadres AGIRC</t>
  </si>
  <si>
    <t>Assedic</t>
  </si>
  <si>
    <t>Autres organismes sociaux</t>
  </si>
  <si>
    <t>Dotation aux amortissements et aux provisions</t>
  </si>
  <si>
    <t>sur immobilisations : dotation aux provisions</t>
  </si>
  <si>
    <t>sur actif circulant : dotation aux provisions</t>
  </si>
  <si>
    <t>pour risques et charges : dotations aux provisions</t>
  </si>
  <si>
    <t>Total des charges d'exploitation (I)</t>
  </si>
  <si>
    <t>Charges financières</t>
  </si>
  <si>
    <t xml:space="preserve">Intérêts des emprunts </t>
  </si>
  <si>
    <t>Agios sur découvert</t>
  </si>
  <si>
    <t>Différences négatives de change</t>
  </si>
  <si>
    <t xml:space="preserve">Total des charges financières (II) </t>
  </si>
  <si>
    <t>TOTAL DES CHARGES (I + II)</t>
  </si>
  <si>
    <t xml:space="preserve">Participation des salariés aux fruits de l'expansion </t>
  </si>
  <si>
    <t xml:space="preserve">Impôts sur les bénéfices </t>
  </si>
  <si>
    <t xml:space="preserve">sur immobilisations : dotation aux amortissements </t>
  </si>
  <si>
    <t>CP</t>
  </si>
  <si>
    <t>CAPITAUX PROPRES</t>
  </si>
  <si>
    <t>CS</t>
  </si>
  <si>
    <t xml:space="preserve">Capital social </t>
  </si>
  <si>
    <t>RES</t>
  </si>
  <si>
    <t>BN1</t>
  </si>
  <si>
    <t>DET</t>
  </si>
  <si>
    <t>DETTES</t>
  </si>
  <si>
    <t>DLT</t>
  </si>
  <si>
    <t>DETTES LONG TERME</t>
  </si>
  <si>
    <t>DCT</t>
  </si>
  <si>
    <t>DETTES COURT TERME</t>
  </si>
  <si>
    <t>DFO</t>
  </si>
  <si>
    <t xml:space="preserve">Dettes fournisseurs </t>
  </si>
  <si>
    <t>DFI</t>
  </si>
  <si>
    <t>Dettes fiscales (Impôts sur bénéfices)</t>
  </si>
  <si>
    <t>DSO</t>
  </si>
  <si>
    <t>Dettes sociales</t>
  </si>
  <si>
    <t>TVAC</t>
  </si>
  <si>
    <t>DIV</t>
  </si>
  <si>
    <t>Dividendes à distribuer en N+1</t>
  </si>
  <si>
    <t>TR&lt;0</t>
  </si>
  <si>
    <t>Découvert en banque</t>
  </si>
  <si>
    <t xml:space="preserve">TOTAL GENERAL PASSIF </t>
  </si>
  <si>
    <t>AIN</t>
  </si>
  <si>
    <t>ACTIF IMMOBILISE NET</t>
  </si>
  <si>
    <t>IIN</t>
  </si>
  <si>
    <t>Immobilisations incorporelles nettes</t>
  </si>
  <si>
    <t>Frais d'établissement</t>
  </si>
  <si>
    <t>Frais de recherche et de développement</t>
  </si>
  <si>
    <t>Fonds commercial</t>
  </si>
  <si>
    <t>Autres</t>
  </si>
  <si>
    <t>ICN</t>
  </si>
  <si>
    <t>Immobilisations corporelles nettes</t>
  </si>
  <si>
    <t>Terrains</t>
  </si>
  <si>
    <t>Constructions</t>
  </si>
  <si>
    <t xml:space="preserve">Installations techniques, matériel et outillages industriels </t>
  </si>
  <si>
    <t>ACI</t>
  </si>
  <si>
    <t>ACTIF CIRCULANT</t>
  </si>
  <si>
    <t>STEC</t>
  </si>
  <si>
    <t>Stocks et en-cours</t>
  </si>
  <si>
    <t>SMP</t>
  </si>
  <si>
    <t>Matières premières et autres approvisionnements</t>
  </si>
  <si>
    <t>TEC</t>
  </si>
  <si>
    <t>SSF</t>
  </si>
  <si>
    <t>Produits semi-finis et finis</t>
  </si>
  <si>
    <t>SMAR</t>
  </si>
  <si>
    <t>Marchandises (à revendre en l'état)</t>
  </si>
  <si>
    <t>CLI</t>
  </si>
  <si>
    <t xml:space="preserve">Créances clients </t>
  </si>
  <si>
    <t>TVAF</t>
  </si>
  <si>
    <t>TR&gt;0</t>
  </si>
  <si>
    <t>Disponibilité en banque</t>
  </si>
  <si>
    <t xml:space="preserve">TOTAL GENERAL ACTIF </t>
  </si>
  <si>
    <t xml:space="preserve">Concessions, brevets, licences, marques, procédés, droits </t>
  </si>
  <si>
    <t xml:space="preserve">En-cours de production en fin d'exercice non encore facturés </t>
  </si>
  <si>
    <t>Calculs du prêt bancaire</t>
  </si>
  <si>
    <t>N°de mois</t>
  </si>
  <si>
    <t>Capital restant dû</t>
  </si>
  <si>
    <t>Taux de dividendes à verser en N+1</t>
  </si>
  <si>
    <t>Capital remboursé</t>
  </si>
  <si>
    <t>Intérêts</t>
  </si>
  <si>
    <t>Échéance</t>
  </si>
  <si>
    <t xml:space="preserve">Capital </t>
  </si>
  <si>
    <t>Cumul intérêts</t>
  </si>
  <si>
    <t>FR</t>
  </si>
  <si>
    <t>BFR</t>
  </si>
  <si>
    <t>Besoin en fonds de roulement</t>
  </si>
  <si>
    <t>Trésorerie</t>
  </si>
  <si>
    <t xml:space="preserve">Réserves </t>
  </si>
  <si>
    <t>CAF</t>
  </si>
  <si>
    <t>Capacité d'autofinancement pour financer N+1</t>
  </si>
  <si>
    <t>TR</t>
  </si>
  <si>
    <t>Janvier</t>
  </si>
  <si>
    <t>Mars</t>
  </si>
  <si>
    <t>Avril</t>
  </si>
  <si>
    <t>Mai</t>
  </si>
  <si>
    <t>Juin</t>
  </si>
  <si>
    <t>Juillet</t>
  </si>
  <si>
    <t>Août</t>
  </si>
  <si>
    <t>Septembre</t>
  </si>
  <si>
    <t>Octobre</t>
  </si>
  <si>
    <t>Novembre</t>
  </si>
  <si>
    <t>Décembre</t>
  </si>
  <si>
    <t>N° de mois</t>
  </si>
  <si>
    <t>Février</t>
  </si>
  <si>
    <t>Solde en banque début du mois</t>
  </si>
  <si>
    <t>Recettes du mois</t>
  </si>
  <si>
    <t>Capital social</t>
  </si>
  <si>
    <t>Prêt bancaire</t>
  </si>
  <si>
    <t>Dépenses du mois</t>
  </si>
  <si>
    <t>Facturation clients TTC</t>
  </si>
  <si>
    <t>Impôts et taxes</t>
  </si>
  <si>
    <t>Remboursement prêt en capital</t>
  </si>
  <si>
    <t>Paiement des intérêts du prêt</t>
  </si>
  <si>
    <t>TVA nette à payer à l'Etat</t>
  </si>
  <si>
    <t>Flux des dépenses</t>
  </si>
  <si>
    <t>Flux des recettes</t>
  </si>
  <si>
    <t>Flux net de trésorerie</t>
  </si>
  <si>
    <t>Les immobilisations sont payées comptant au mois de janvier</t>
  </si>
  <si>
    <t>Décaissements Immobilisations TTC</t>
  </si>
  <si>
    <t>Factures fournisseurs achats externes TTC reçues dans le mois</t>
  </si>
  <si>
    <t>Factures immobilisations TTC reçues dans le mois</t>
  </si>
  <si>
    <t>TVA à payer sur clients facturés</t>
  </si>
  <si>
    <t>TVA à récupérer sur factures fournisseurs reçues</t>
  </si>
  <si>
    <t>CALCUL DE LA TVA ET BALANCE TVA POUR LE BILAN</t>
  </si>
  <si>
    <t>TVA à porter au PASSIF</t>
  </si>
  <si>
    <t>TVA comptabilisée à payer sur CA HT facturé</t>
  </si>
  <si>
    <t xml:space="preserve">Cumul à fin de mois n de la TVA comptabilisée à payer </t>
  </si>
  <si>
    <t>Encaissement TTC</t>
  </si>
  <si>
    <t>Cumul au mois n de la TVA à payer</t>
  </si>
  <si>
    <t>TVA restant à payer au 31/12/An et à porter au PASSIF du Bilan</t>
  </si>
  <si>
    <t>TVA à porter à l'ACTIF</t>
  </si>
  <si>
    <t>Factures fournisseurs TTC reçues dans le mois pour les achats externes</t>
  </si>
  <si>
    <t>Factures fournisseurs TTC reçues dans le mois pour les immobilisations</t>
  </si>
  <si>
    <t>Total Factures fournisseurs HT reçues dans le mois</t>
  </si>
  <si>
    <t>TVA comptabilisée sur factures fournisseurs reçues dans le mois</t>
  </si>
  <si>
    <t>TVA à récupérer au mois i sur factures fournisseurs reçues au mois i-1</t>
  </si>
  <si>
    <t>Cumul au mois n de la TVA à récupérer</t>
  </si>
  <si>
    <t>TVA restant à récupérer au 31/12/An et à porter à l'ACTIF du Bilan</t>
  </si>
  <si>
    <t>TVA à payer au mois i sur facturation du mois i-1</t>
  </si>
  <si>
    <t>car moins de 100 salariés sinon P=50%x(BN1-5%CP)xS/VA</t>
  </si>
  <si>
    <t>Délai de paiement des clients en jours</t>
  </si>
  <si>
    <t>Prêt bancaire (montant emprunté)</t>
  </si>
  <si>
    <t>Prêt bancaire (taux par an)</t>
  </si>
  <si>
    <t>50% x Salaires et traitements bruts</t>
  </si>
  <si>
    <t>DBA</t>
  </si>
  <si>
    <t>Résultat net de l'exercice (bénéfice BN1 ou perte) à porter en réserves après dividendes</t>
  </si>
  <si>
    <t>Bénéfice BN1 de année N - Dividendes à distribuer en année N+1</t>
  </si>
  <si>
    <t>FR - BFR</t>
  </si>
  <si>
    <t>Stocks + En-cours + Créances clients - Dettes court terme</t>
  </si>
  <si>
    <t>CP+Réserves+BN1+DLT-Immobilisations nettes</t>
  </si>
  <si>
    <t>Fonds de roulement</t>
  </si>
  <si>
    <t>B</t>
  </si>
  <si>
    <t>C</t>
  </si>
  <si>
    <t xml:space="preserve">EQUATION DE PERFORMANCE FINANCIERE ET LEVIER FINANCIER </t>
  </si>
  <si>
    <t>A = Actif total</t>
  </si>
  <si>
    <t xml:space="preserve">CP = Capitaux propres </t>
  </si>
  <si>
    <t>D = Dettes totales = A - CP</t>
  </si>
  <si>
    <t>Dettes à moyen et long terme</t>
  </si>
  <si>
    <t xml:space="preserve">Charges financières totales FF= iD </t>
  </si>
  <si>
    <t>Intérêts des dettes à long et moyen terme</t>
  </si>
  <si>
    <t>i = taux d'intérêt moyen des dettes = FF/D</t>
  </si>
  <si>
    <t xml:space="preserve">BN3 = Bénéfice d'exploitation avant charges financières </t>
  </si>
  <si>
    <t>Re3 = BN3/A = Rentabilité économique de l'actif total</t>
  </si>
  <si>
    <t>BN2 après charges financières et avant impôts = BN3 -iD = D.(Re-i)+Re.CP</t>
  </si>
  <si>
    <t>tx = taux d'impôts</t>
  </si>
  <si>
    <t>BN1 après impôts = (1-tx) BN2 = [D.(Re-i)+Re.CP](1-tx)</t>
  </si>
  <si>
    <t>Rentabilité financière = Rf1 = BN1/CP = [(D/CP)x(Re3-i) + Re3](1-tx)</t>
  </si>
  <si>
    <t>p = Taux de rétention des bénéfices pour l'entreprise</t>
  </si>
  <si>
    <t>Rc = rentabilité des capitaux propres pour l'entreprise  = p x Rf1</t>
  </si>
  <si>
    <t>Ra = rentabilité des capitaux pour les actionnaires  = (1-p)xRf1</t>
  </si>
  <si>
    <t>Taux de croissance intrinséque des capitaux = p(1-t)xRe3</t>
  </si>
  <si>
    <t>Taux de croissance extrinséque des capitaux = p(1-t)x[D/CP(Re3-i)]</t>
  </si>
  <si>
    <t>BN1+Amortissements-Dividendes</t>
  </si>
  <si>
    <t>BN1/A</t>
  </si>
  <si>
    <t>CA/A</t>
  </si>
  <si>
    <t>Rotation de l'actif</t>
  </si>
  <si>
    <t>BN1/CA</t>
  </si>
  <si>
    <t>Taux de profit sur ventes</t>
  </si>
  <si>
    <t>A/CP</t>
  </si>
  <si>
    <t>Sécurité financière</t>
  </si>
  <si>
    <t>BN1/CP</t>
  </si>
  <si>
    <t>Rentabilité financière</t>
  </si>
  <si>
    <t>Rentabilité économique</t>
  </si>
  <si>
    <t>Dettes bancaires (agios dûs)</t>
  </si>
  <si>
    <t>Réserves légales (5% du résultat net jusqu'à 10% du capital social)</t>
  </si>
  <si>
    <t>Contribution foncière (remplacement de la taxe professionnelle)</t>
  </si>
  <si>
    <t>Taux d'agios par an sur découvert</t>
  </si>
  <si>
    <t>TOTAL</t>
  </si>
  <si>
    <t>Montant des dividendes à verser aux actionnaires</t>
  </si>
  <si>
    <t>Production stockée (Stock ou TEC final - Stock ou TEC initial)</t>
  </si>
  <si>
    <t>Nbre de contrats traités dans le mois</t>
  </si>
  <si>
    <t>Nbre de journées moyen facturés par contrat</t>
  </si>
  <si>
    <t>Base</t>
  </si>
  <si>
    <t>Taux journalier de sous-traitance (intervenant vacataire)</t>
  </si>
  <si>
    <t>Sous-traitance des Intervenant (s) vacataire (s) (auto-entrepreneurs)(CV)</t>
  </si>
  <si>
    <t xml:space="preserve">Délai de paiement des fournisseurs d'achats externes </t>
  </si>
  <si>
    <t>Délai de paiement des sous-traitants (intervenants auto-entrepreneurs)</t>
  </si>
  <si>
    <t>Factures des sous-traitants TTC reçues dans le mois (pas de TVA à récupérer)</t>
  </si>
  <si>
    <t>RATIOS</t>
  </si>
  <si>
    <t>CHIFFRE D'AFFAIRES (CA), CHARGES VARIABLES (CV), CHARGES FIXES (CF)</t>
  </si>
  <si>
    <t>PRODUITS</t>
  </si>
  <si>
    <t>COMPTE DE RESULTAT</t>
  </si>
  <si>
    <t>RESULTAT AVANT FRAIS FINANCIERS BN3</t>
  </si>
  <si>
    <t>RESULTAT AVANT IMPOTS BN2</t>
  </si>
  <si>
    <t>RESULTAT APRES IMPOTS BN1</t>
  </si>
  <si>
    <t>Salaire brut mensuel fixe de l'associé commercial</t>
  </si>
  <si>
    <t>Acquisition de matériel (3000 par associé)</t>
  </si>
  <si>
    <t>Commentaires</t>
  </si>
  <si>
    <t>Frais d'hôtel par jour en province</t>
  </si>
  <si>
    <t>Frais d'une journée en province</t>
  </si>
  <si>
    <t>Nbre journées d'intervention en région parisienne</t>
  </si>
  <si>
    <t>Nbre de journées d'intervention en province</t>
  </si>
  <si>
    <t>Nbre total de journées d'intervention facturées dans le mois</t>
  </si>
  <si>
    <t>Nbre de journéees commerciales passées en province</t>
  </si>
  <si>
    <t>Nbre de journéees commerciales passées en région parisienne</t>
  </si>
  <si>
    <t>1 associé commercial x 2000 x 12</t>
  </si>
  <si>
    <t>Charges sociales sur salaire variable</t>
  </si>
  <si>
    <t>Salaires fixes</t>
  </si>
  <si>
    <t>Salaire variable</t>
  </si>
  <si>
    <t>Charges sociales sur salaire fixe</t>
  </si>
  <si>
    <t>CA HT facturé au compte de produits supportant la TVA</t>
  </si>
  <si>
    <t>Salaire fixe du commercial</t>
  </si>
  <si>
    <t>Salaire variable du commercial</t>
  </si>
  <si>
    <t xml:space="preserve">Charges sociales sur salaire fixe </t>
  </si>
  <si>
    <t>Variable</t>
  </si>
  <si>
    <t>Fixe</t>
  </si>
  <si>
    <t>X</t>
  </si>
  <si>
    <t>JURIDIQUE</t>
  </si>
  <si>
    <t>IMMOBILISATIONS, PRETS, CONDITIONS BANCAIRES</t>
  </si>
  <si>
    <t>RESSOURCES HUMAINES</t>
  </si>
  <si>
    <t>CONDITIONS COMMERCIALES</t>
  </si>
  <si>
    <t>ACHATS</t>
  </si>
  <si>
    <t>IMPOTS,TAXES, DIVIDENDES</t>
  </si>
  <si>
    <t>Indemnité de transport pour déplacement en province</t>
  </si>
  <si>
    <t>% des journées de présence passées en rendez-vous clientèle</t>
  </si>
  <si>
    <t>% du CA pour la partie variable du salaire du commercial</t>
  </si>
  <si>
    <t>TRANSPORTS, MISSIONS, DEPLACEMENTS</t>
  </si>
  <si>
    <t>Région parisienne</t>
  </si>
  <si>
    <t>Indemnité journalière de déplacement (région parisienne ou province)</t>
  </si>
  <si>
    <t>Province</t>
  </si>
  <si>
    <t>Normalement c'est une valeur variable fonction des variations des autres paramètres qui infleunt sur le solde en trésorerie</t>
  </si>
  <si>
    <t>Cette valeur n'est pas prise en compte dans les charges variables car elle est refacturée telle quelle donc son impact sur le point mort est nul.</t>
  </si>
  <si>
    <t>5% x Salaires et traitements bruts Il faut distinguer la quote part qui vient du salaire fixe et celle qui vient du salaire variable</t>
  </si>
  <si>
    <t>CA point mort = CF/TMCV</t>
  </si>
  <si>
    <t>Chiffre d'affaires HT</t>
  </si>
  <si>
    <t>TMCV =(CA - CV)/CA</t>
  </si>
  <si>
    <t>Frais de missions, déplacements du commercial (paris,province)</t>
  </si>
  <si>
    <t>Frais de missions et de déplacements des auto entrepreneurs</t>
  </si>
  <si>
    <t>Frais de missions et de déplacements du commercial</t>
  </si>
  <si>
    <t>Sous-traitance auto-entrepreneurs sans TVA</t>
  </si>
  <si>
    <t>Cette valeur annuelle sera divisée par 12 pour obtenir sa valeur mensuelle à débiter en trésorerie</t>
  </si>
  <si>
    <t>Total facturation auto- entrepreneurs sans TVA</t>
  </si>
  <si>
    <t>Frais de déplacement auto entrepreneurs sans TVA</t>
  </si>
  <si>
    <t>Décaissements Sous-traitance TTC (paiement comptant)</t>
  </si>
  <si>
    <t>Encaissement clients (paiement à 30 jours de réception de factures)</t>
  </si>
  <si>
    <t>Facturation clients HT</t>
  </si>
  <si>
    <t>Autres charges externes N°1 : 10% du CA HT</t>
  </si>
  <si>
    <t>Ces charges sont payées par abonnement à raison d'un 1/12eme par mois</t>
  </si>
  <si>
    <t>CHIFFRE D'AFFAIRES HT des journées facturées aux clients</t>
  </si>
  <si>
    <t>TOTAL CHIFFRE D'AFFAIRES HT Facturé aux clients</t>
  </si>
  <si>
    <t>TOTAL CHIFFRE D'AFFAIRES TTC Facturé aux clients</t>
  </si>
  <si>
    <t>Chiffre d'affaires HT pour les Frais de missions et déplacements des auto-entrepreneurs refacturés aux clients</t>
  </si>
  <si>
    <t>Montant annuel de la TVA à payer sur les ventes</t>
  </si>
  <si>
    <t>Montant annuel de la TVA à récupérer sur les achats</t>
  </si>
  <si>
    <t>CHIFFRE D'AFFAIRES ANNUEL HT</t>
  </si>
  <si>
    <t>CHIFFRE D'AFFAIRES ANNUEL TTC</t>
  </si>
  <si>
    <t>ACHATS ANNUELS HT</t>
  </si>
  <si>
    <t>ACHATS ANNUELS TTC</t>
  </si>
  <si>
    <t>Réellement récupéré</t>
  </si>
  <si>
    <t>Vérification</t>
  </si>
  <si>
    <t>Réellement payé en trésorerie</t>
  </si>
  <si>
    <t>Reste à payer à porter au passif du Bilan à fin décembre</t>
  </si>
  <si>
    <t>Reste à récupérer à porter à l'ACTIF du Bilan à fin décembre</t>
  </si>
  <si>
    <t>Factures sous-traitants auto entrepreneurs TTC reçues dans le mois</t>
  </si>
  <si>
    <t>Bilan TVA (reste à payer à l'ETAT)</t>
  </si>
  <si>
    <t>TVA nette à payer à l'Etat dans le mois i</t>
  </si>
  <si>
    <t>Montant net total de TVA à régler à l'ETAT pour l'année</t>
  </si>
  <si>
    <t>Montant net total de TVA payé à l'ETAT dans l'année</t>
  </si>
  <si>
    <t>CV</t>
  </si>
  <si>
    <t>CF</t>
  </si>
  <si>
    <t>Frais de missions, déplacements des auto-entrepreneurs refacturés</t>
  </si>
  <si>
    <t>CA Point Mort</t>
  </si>
  <si>
    <t>CV/CA</t>
  </si>
  <si>
    <t>Date du pay-back</t>
  </si>
  <si>
    <t>CUMUL CA HT à fin de mois</t>
  </si>
  <si>
    <t>Le matériel et logiciel est amorti en 3 ans linéairement</t>
  </si>
  <si>
    <t>Le montant du prêt bancaire reste à définir</t>
  </si>
  <si>
    <t>Le montant du capital reste à déterminer en fonction des contraintes de découvert maximum imposées par la banque</t>
  </si>
  <si>
    <t>Dans les conditions actuelles de prêt bancaire (15.000 €), de capital social (4x7500 = 30.000€) et de délais de paiement des clients (30j), des fournisseurs (60j) et des associés auto-entrepreneurs (30j) le découvert est limité par la banque à 10.000 €.</t>
  </si>
  <si>
    <t>Achats externes en % du Chiffre d'affaires H.T.</t>
  </si>
  <si>
    <t>Impôts et taxes en % des salaires bruts (fixes + variables)</t>
  </si>
  <si>
    <t>Pour l'instant, il n'est pas prévu de verser de dividendes</t>
  </si>
  <si>
    <t>Attention, si les associés sous-traitants sont en auto-entrepreneurs, ils ne facturent pas de TVA.</t>
  </si>
  <si>
    <t>C'est le taux de TVA applicable à compter du 01/01/2014. La TVA est à déduire au mois suivant la réception des factures d'achats. La TVA est à payer au mois suivant la facturation client.</t>
  </si>
  <si>
    <t>C'est le taux de la loi de finances valable pour 2013.</t>
  </si>
  <si>
    <t>Pour ne pas géner les associés auto-entrepreneurs, il a été décidé de payer comptant leurs factures mensuelles.</t>
  </si>
  <si>
    <t>Décaissements Achats externes  TTC</t>
  </si>
  <si>
    <t>% CV/CA</t>
  </si>
  <si>
    <t>Ces produits ne sont pas comptés dans l'analyse du point mort car ils figurent toujours dans les charges pour un montant équivalent. L'effet de cette partie des produits est donc nul sur le calcul du point mort.</t>
  </si>
  <si>
    <t>Nbre moyen de journées d'intervention par contrat</t>
  </si>
  <si>
    <t>Nbre de journées passées en rendez-vous clientèle</t>
  </si>
  <si>
    <t>% du temps commercial en clientèle en région parisienne</t>
  </si>
  <si>
    <t>% du temps commercial en clientèle en province</t>
  </si>
  <si>
    <t>Cette charge est surestimée car les déplacements en province ne durent pas forcément qu'une seule journée et l'indemnité de transport est souvent à répartir sur plusieurs journées car elle comprend l'aller et le retour. Mais il vaut mieux être pessimiste.</t>
  </si>
  <si>
    <t>PRODUCTION</t>
  </si>
  <si>
    <t>CHIFFRE D'AFFAIRES</t>
  </si>
  <si>
    <t>CV+CF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</si>
</sst>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0.00\ &quot;€&quot;;\-#,##0.00\ &quot;€&quot;"/>
    <numFmt numFmtId="8" formatCode="#,##0.00\ &quot;€&quot;;[Red]\-#,##0.00\ &quot;€&quot;"/>
    <numFmt numFmtId="44" formatCode="_-* #,##0.00\ &quot;€&quot;_-;\-* #,##0.00\ &quot;€&quot;_-;_-* &quot;-&quot;??\ &quot;€&quot;_-;_-@_-"/>
    <numFmt numFmtId="164" formatCode="[$-40C]mmm\-yy;@"/>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0"/>
      <name val="Arial"/>
      <family val="2"/>
    </font>
    <font>
      <b/>
      <i/>
      <sz val="10"/>
      <name val="Arial"/>
      <family val="2"/>
    </font>
    <font>
      <sz val="10"/>
      <name val="Arial"/>
      <family val="2"/>
    </font>
    <font>
      <sz val="10"/>
      <color theme="1"/>
      <name val="Arial"/>
      <family val="2"/>
    </font>
    <font>
      <sz val="8"/>
      <name val="Arial"/>
      <family val="2"/>
    </font>
    <font>
      <b/>
      <sz val="8"/>
      <name val="Arial"/>
      <family val="2"/>
    </font>
    <font>
      <u/>
      <sz val="11"/>
      <color theme="10"/>
      <name val="Calibri"/>
      <family val="2"/>
      <scheme val="minor"/>
    </font>
    <font>
      <u/>
      <sz val="11"/>
      <color theme="11"/>
      <name val="Calibri"/>
      <family val="2"/>
      <scheme val="minor"/>
    </font>
    <font>
      <sz val="14"/>
      <name val="Arial"/>
    </font>
    <font>
      <b/>
      <sz val="14"/>
      <name val="Arial"/>
    </font>
    <font>
      <b/>
      <sz val="14"/>
      <color rgb="FFDD0806"/>
      <name val="Arial"/>
    </font>
    <font>
      <b/>
      <sz val="14"/>
      <color theme="1"/>
      <name val="Calibri"/>
      <scheme val="minor"/>
    </font>
    <font>
      <sz val="8"/>
      <name val="Calibri"/>
      <family val="2"/>
      <scheme val="minor"/>
    </font>
    <font>
      <b/>
      <sz val="11"/>
      <color theme="1"/>
      <name val="Arial"/>
    </font>
    <font>
      <sz val="10"/>
      <color theme="1"/>
      <name val="Calibri"/>
      <scheme val="minor"/>
    </font>
    <font>
      <b/>
      <sz val="10"/>
      <color theme="1"/>
      <name val="Calibri"/>
      <scheme val="minor"/>
    </font>
    <font>
      <sz val="11"/>
      <color theme="1"/>
      <name val="Arial"/>
    </font>
    <font>
      <sz val="11"/>
      <name val="Calibri"/>
      <scheme val="minor"/>
    </font>
    <font>
      <b/>
      <sz val="18"/>
      <color theme="1"/>
      <name val="Calibri"/>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rgb="FF000000"/>
      </right>
      <top style="thin">
        <color auto="1"/>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s>
  <cellStyleXfs count="155">
    <xf numFmtId="0" fontId="0" fillId="0" borderId="0"/>
    <xf numFmtId="44" fontId="3"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04">
    <xf numFmtId="0" fontId="0" fillId="0" borderId="0" xfId="0"/>
    <xf numFmtId="0" fontId="0" fillId="0" borderId="0" xfId="0" applyAlignment="1">
      <alignment vertical="center" wrapText="1"/>
    </xf>
    <xf numFmtId="0" fontId="0" fillId="0" borderId="0" xfId="0" applyAlignment="1">
      <alignment horizontal="center"/>
    </xf>
    <xf numFmtId="0" fontId="0" fillId="0" borderId="1" xfId="0" applyBorder="1"/>
    <xf numFmtId="0" fontId="0" fillId="0" borderId="1" xfId="0" applyBorder="1" applyAlignment="1">
      <alignment vertical="center" wrapText="1"/>
    </xf>
    <xf numFmtId="0" fontId="1" fillId="0" borderId="1" xfId="0" applyFont="1" applyBorder="1" applyAlignment="1">
      <alignment vertical="center" wrapText="1"/>
    </xf>
    <xf numFmtId="9"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0" fontId="0" fillId="0" borderId="5" xfId="0" applyBorder="1"/>
    <xf numFmtId="0" fontId="0" fillId="0" borderId="6" xfId="0" applyBorder="1"/>
    <xf numFmtId="0" fontId="0" fillId="0" borderId="3" xfId="0" applyBorder="1"/>
    <xf numFmtId="0" fontId="0" fillId="0" borderId="4" xfId="0" applyBorder="1" applyAlignment="1">
      <alignment horizontal="center"/>
    </xf>
    <xf numFmtId="0" fontId="4" fillId="0" borderId="1" xfId="0" applyFont="1" applyBorder="1"/>
    <xf numFmtId="0" fontId="4" fillId="0" borderId="1" xfId="0" applyFont="1" applyFill="1" applyBorder="1"/>
    <xf numFmtId="0" fontId="0" fillId="0" borderId="1" xfId="0" applyFill="1" applyBorder="1"/>
    <xf numFmtId="0" fontId="5" fillId="0" borderId="1" xfId="0" applyFont="1" applyFill="1" applyBorder="1"/>
    <xf numFmtId="0" fontId="4" fillId="0" borderId="8" xfId="0" applyFont="1" applyBorder="1"/>
    <xf numFmtId="0" fontId="6" fillId="0" borderId="1" xfId="0" applyFont="1" applyFill="1" applyBorder="1"/>
    <xf numFmtId="0" fontId="7" fillId="0" borderId="1" xfId="0" applyFont="1" applyFill="1" applyBorder="1"/>
    <xf numFmtId="0" fontId="6" fillId="0" borderId="2" xfId="0" applyFont="1" applyBorder="1"/>
    <xf numFmtId="0" fontId="4" fillId="0" borderId="3" xfId="0" applyFont="1" applyBorder="1" applyAlignment="1">
      <alignment horizontal="center"/>
    </xf>
    <xf numFmtId="0" fontId="6" fillId="0" borderId="4" xfId="0" applyFont="1" applyBorder="1" applyAlignment="1">
      <alignment horizontal="center"/>
    </xf>
    <xf numFmtId="0" fontId="4" fillId="0" borderId="1" xfId="0" applyFont="1" applyBorder="1" applyAlignment="1">
      <alignment horizontal="center"/>
    </xf>
    <xf numFmtId="0" fontId="6" fillId="0" borderId="5" xfId="0" applyFont="1" applyBorder="1"/>
    <xf numFmtId="0" fontId="6" fillId="0" borderId="1" xfId="0" applyFont="1" applyBorder="1"/>
    <xf numFmtId="0" fontId="0" fillId="0" borderId="7" xfId="0" applyBorder="1"/>
    <xf numFmtId="0" fontId="0" fillId="0" borderId="2" xfId="0" applyBorder="1"/>
    <xf numFmtId="4" fontId="0" fillId="0" borderId="6" xfId="0" applyNumberFormat="1" applyBorder="1"/>
    <xf numFmtId="4" fontId="0" fillId="0" borderId="9" xfId="0" applyNumberFormat="1" applyBorder="1"/>
    <xf numFmtId="4" fontId="0" fillId="0" borderId="0" xfId="0" applyNumberFormat="1"/>
    <xf numFmtId="4" fontId="2" fillId="0" borderId="6" xfId="0" applyNumberFormat="1" applyFont="1" applyBorder="1"/>
    <xf numFmtId="4" fontId="6" fillId="0" borderId="4" xfId="0" applyNumberFormat="1" applyFont="1" applyBorder="1" applyAlignment="1">
      <alignment horizontal="center"/>
    </xf>
    <xf numFmtId="8" fontId="0" fillId="0" borderId="0" xfId="0" applyNumberFormat="1" applyAlignment="1">
      <alignment horizontal="center"/>
    </xf>
    <xf numFmtId="7" fontId="0" fillId="0" borderId="0" xfId="1" applyNumberFormat="1" applyFont="1" applyAlignment="1">
      <alignment horizontal="center"/>
    </xf>
    <xf numFmtId="4" fontId="2" fillId="0" borderId="9" xfId="0" applyNumberFormat="1" applyFont="1" applyBorder="1"/>
    <xf numFmtId="0" fontId="4" fillId="0" borderId="2" xfId="0" applyFont="1" applyBorder="1"/>
    <xf numFmtId="4" fontId="8" fillId="0" borderId="3" xfId="0" applyNumberFormat="1" applyFont="1" applyBorder="1" applyAlignment="1">
      <alignment horizontal="center"/>
    </xf>
    <xf numFmtId="0" fontId="8" fillId="0" borderId="5" xfId="0" applyFont="1" applyBorder="1"/>
    <xf numFmtId="4" fontId="8" fillId="0" borderId="1" xfId="0" applyNumberFormat="1" applyFont="1" applyBorder="1"/>
    <xf numFmtId="4" fontId="8" fillId="0" borderId="1" xfId="0" applyNumberFormat="1" applyFont="1" applyBorder="1" applyAlignment="1">
      <alignment horizontal="center"/>
    </xf>
    <xf numFmtId="0" fontId="8" fillId="0" borderId="5" xfId="0" applyFont="1" applyFill="1" applyBorder="1"/>
    <xf numFmtId="4" fontId="8" fillId="0" borderId="12" xfId="0" applyNumberFormat="1" applyFont="1" applyBorder="1"/>
    <xf numFmtId="0" fontId="9" fillId="2" borderId="5" xfId="0" applyFont="1" applyFill="1" applyBorder="1"/>
    <xf numFmtId="4" fontId="0" fillId="0" borderId="1" xfId="0" applyNumberFormat="1" applyBorder="1"/>
    <xf numFmtId="4" fontId="0" fillId="0" borderId="13" xfId="0" applyNumberFormat="1" applyBorder="1"/>
    <xf numFmtId="4" fontId="9" fillId="2" borderId="14" xfId="0" applyNumberFormat="1" applyFont="1" applyFill="1" applyBorder="1"/>
    <xf numFmtId="0" fontId="9" fillId="0" borderId="5" xfId="0" applyFont="1" applyFill="1" applyBorder="1"/>
    <xf numFmtId="0" fontId="4" fillId="0" borderId="5" xfId="0" applyFont="1" applyBorder="1"/>
    <xf numFmtId="4" fontId="0" fillId="0" borderId="15" xfId="0" applyNumberFormat="1" applyBorder="1"/>
    <xf numFmtId="0" fontId="4" fillId="0" borderId="7" xfId="0" applyFont="1" applyBorder="1"/>
    <xf numFmtId="4" fontId="9" fillId="0" borderId="8" xfId="0" applyNumberFormat="1" applyFont="1" applyBorder="1"/>
    <xf numFmtId="4" fontId="0" fillId="0" borderId="0" xfId="0" applyNumberFormat="1" applyAlignment="1">
      <alignment horizontal="center"/>
    </xf>
    <xf numFmtId="4" fontId="0" fillId="0" borderId="6" xfId="0" applyNumberFormat="1" applyFont="1" applyBorder="1"/>
    <xf numFmtId="0" fontId="6" fillId="0" borderId="2" xfId="0" applyFont="1" applyBorder="1" applyAlignment="1">
      <alignment horizontal="center"/>
    </xf>
    <xf numFmtId="0" fontId="6" fillId="0" borderId="18" xfId="0" applyFont="1" applyBorder="1" applyAlignment="1">
      <alignment horizontal="center"/>
    </xf>
    <xf numFmtId="10" fontId="0" fillId="0" borderId="0" xfId="0" applyNumberFormat="1"/>
    <xf numFmtId="0" fontId="6" fillId="0" borderId="22"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3" fillId="0" borderId="21" xfId="0" applyFont="1" applyBorder="1"/>
    <xf numFmtId="0" fontId="14" fillId="0" borderId="20" xfId="0" applyFont="1" applyBorder="1" applyAlignment="1">
      <alignment horizontal="center" vertical="center" wrapText="1"/>
    </xf>
    <xf numFmtId="4" fontId="13" fillId="0" borderId="20" xfId="0" applyNumberFormat="1" applyFont="1" applyBorder="1"/>
    <xf numFmtId="0" fontId="12" fillId="0" borderId="21" xfId="0" applyFont="1" applyBorder="1"/>
    <xf numFmtId="4" fontId="12" fillId="0" borderId="20" xfId="0" applyNumberFormat="1" applyFont="1" applyBorder="1"/>
    <xf numFmtId="0" fontId="12" fillId="0" borderId="21" xfId="0" applyFont="1" applyBorder="1" applyAlignment="1">
      <alignment horizontal="right"/>
    </xf>
    <xf numFmtId="10" fontId="12" fillId="0" borderId="20" xfId="0" applyNumberFormat="1" applyFont="1" applyBorder="1"/>
    <xf numFmtId="10" fontId="13" fillId="0" borderId="20" xfId="0" applyNumberFormat="1" applyFont="1" applyBorder="1"/>
    <xf numFmtId="0" fontId="13" fillId="0" borderId="23" xfId="0" applyFont="1" applyBorder="1"/>
    <xf numFmtId="10" fontId="13" fillId="0" borderId="24" xfId="0" applyNumberFormat="1" applyFont="1" applyBorder="1"/>
    <xf numFmtId="2" fontId="0" fillId="0" borderId="0" xfId="0" applyNumberFormat="1"/>
    <xf numFmtId="0" fontId="0" fillId="0" borderId="0" xfId="0" applyAlignment="1">
      <alignment horizontal="left"/>
    </xf>
    <xf numFmtId="164" fontId="0" fillId="0" borderId="0" xfId="0" applyNumberFormat="1"/>
    <xf numFmtId="0" fontId="13" fillId="0" borderId="11" xfId="0" applyFont="1" applyFill="1" applyBorder="1"/>
    <xf numFmtId="4" fontId="15" fillId="0" borderId="0" xfId="0" applyNumberFormat="1" applyFont="1"/>
    <xf numFmtId="4" fontId="9" fillId="0" borderId="1" xfId="0" applyNumberFormat="1" applyFont="1" applyBorder="1"/>
    <xf numFmtId="0" fontId="0" fillId="0" borderId="27" xfId="0" applyBorder="1" applyAlignment="1">
      <alignment vertical="center" wrapText="1"/>
    </xf>
    <xf numFmtId="0" fontId="1" fillId="0" borderId="1" xfId="0" applyFont="1" applyBorder="1" applyAlignment="1">
      <alignment horizontal="center" vertical="center" wrapText="1"/>
    </xf>
    <xf numFmtId="0" fontId="0" fillId="0" borderId="28" xfId="0" applyBorder="1"/>
    <xf numFmtId="0" fontId="0" fillId="0" borderId="1" xfId="0" applyBorder="1" applyAlignment="1">
      <alignment horizontal="center" vertical="center" wrapText="1"/>
    </xf>
    <xf numFmtId="0" fontId="0" fillId="0" borderId="28" xfId="0" applyBorder="1" applyAlignment="1">
      <alignment horizontal="center" vertical="center" wrapText="1"/>
    </xf>
    <xf numFmtId="0" fontId="2" fillId="0" borderId="27" xfId="0" applyFont="1" applyBorder="1" applyAlignment="1">
      <alignment vertical="center" wrapText="1"/>
    </xf>
    <xf numFmtId="4" fontId="2"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0" fillId="0" borderId="31" xfId="0" applyBorder="1"/>
    <xf numFmtId="0" fontId="0" fillId="0" borderId="27" xfId="0" applyBorder="1"/>
    <xf numFmtId="164" fontId="0" fillId="0" borderId="1" xfId="0" applyNumberFormat="1" applyBorder="1"/>
    <xf numFmtId="2" fontId="0" fillId="0" borderId="28" xfId="0" applyNumberFormat="1" applyBorder="1"/>
    <xf numFmtId="0" fontId="0" fillId="0" borderId="29" xfId="0" applyBorder="1"/>
    <xf numFmtId="0" fontId="2" fillId="0" borderId="29" xfId="0" applyFont="1" applyBorder="1" applyAlignment="1">
      <alignment vertical="center" wrapText="1"/>
    </xf>
    <xf numFmtId="0" fontId="0" fillId="0" borderId="30" xfId="0" applyBorder="1" applyAlignment="1">
      <alignment vertical="center" wrapText="1"/>
    </xf>
    <xf numFmtId="4" fontId="2" fillId="0" borderId="30" xfId="0" applyNumberFormat="1" applyFont="1" applyBorder="1" applyAlignment="1">
      <alignment horizontal="center" vertical="center" wrapText="1"/>
    </xf>
    <xf numFmtId="164" fontId="0" fillId="0" borderId="28" xfId="0" applyNumberFormat="1" applyBorder="1" applyAlignment="1">
      <alignment horizontal="center"/>
    </xf>
    <xf numFmtId="4" fontId="2" fillId="0" borderId="28" xfId="0" applyNumberFormat="1" applyFont="1" applyBorder="1" applyAlignment="1">
      <alignment horizontal="center" vertical="center" wrapText="1"/>
    </xf>
    <xf numFmtId="0" fontId="2" fillId="0" borderId="27" xfId="0" applyFont="1" applyBorder="1"/>
    <xf numFmtId="4" fontId="2" fillId="0" borderId="6" xfId="0" applyNumberFormat="1" applyFont="1" applyBorder="1" applyAlignment="1">
      <alignment vertical="center"/>
    </xf>
    <xf numFmtId="4" fontId="0" fillId="2" borderId="1" xfId="0" applyNumberFormat="1" applyFill="1" applyBorder="1"/>
    <xf numFmtId="10" fontId="0" fillId="0" borderId="1" xfId="14" applyNumberFormat="1" applyFont="1" applyBorder="1"/>
    <xf numFmtId="2" fontId="0" fillId="0" borderId="1" xfId="0" applyNumberFormat="1" applyBorder="1"/>
    <xf numFmtId="10" fontId="0" fillId="0" borderId="1" xfId="0" applyNumberFormat="1" applyBorder="1"/>
    <xf numFmtId="10" fontId="0" fillId="0" borderId="30" xfId="0" applyNumberFormat="1" applyBorder="1"/>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xf numFmtId="0" fontId="18" fillId="0" borderId="1" xfId="0" applyFont="1" applyBorder="1" applyAlignment="1">
      <alignment horizontal="center"/>
    </xf>
    <xf numFmtId="0" fontId="18" fillId="0" borderId="0" xfId="0" applyFont="1" applyAlignment="1">
      <alignment horizontal="center"/>
    </xf>
    <xf numFmtId="4" fontId="18" fillId="0" borderId="1" xfId="0" applyNumberFormat="1" applyFont="1" applyBorder="1"/>
    <xf numFmtId="4" fontId="18" fillId="2" borderId="0" xfId="0" applyNumberFormat="1" applyFont="1" applyFill="1"/>
    <xf numFmtId="4" fontId="18" fillId="0" borderId="0" xfId="0" applyNumberFormat="1" applyFont="1"/>
    <xf numFmtId="0" fontId="19" fillId="0" borderId="1" xfId="0" applyFont="1" applyBorder="1"/>
    <xf numFmtId="0" fontId="18" fillId="0" borderId="0" xfId="0" applyFont="1"/>
    <xf numFmtId="4" fontId="19" fillId="0" borderId="1" xfId="0" applyNumberFormat="1" applyFont="1" applyBorder="1"/>
    <xf numFmtId="4" fontId="19" fillId="0" borderId="0" xfId="0" applyNumberFormat="1" applyFont="1"/>
    <xf numFmtId="0" fontId="0" fillId="0" borderId="27" xfId="0" applyBorder="1" applyAlignment="1">
      <alignment horizontal="right" vertical="center" wrapText="1"/>
    </xf>
    <xf numFmtId="0" fontId="0" fillId="0" borderId="0" xfId="0" applyBorder="1" applyAlignment="1">
      <alignment horizontal="center"/>
    </xf>
    <xf numFmtId="0" fontId="0" fillId="0" borderId="0" xfId="0" applyBorder="1"/>
    <xf numFmtId="4" fontId="0" fillId="0" borderId="0" xfId="0" applyNumberFormat="1" applyBorder="1"/>
    <xf numFmtId="0" fontId="2" fillId="0" borderId="0" xfId="0" applyFont="1" applyAlignment="1">
      <alignment horizontal="center"/>
    </xf>
    <xf numFmtId="4" fontId="2" fillId="0" borderId="0" xfId="0" applyNumberFormat="1" applyFont="1"/>
    <xf numFmtId="0" fontId="2" fillId="0" borderId="0" xfId="0" applyFont="1"/>
    <xf numFmtId="0" fontId="0" fillId="0" borderId="1" xfId="0" applyBorder="1" applyAlignment="1">
      <alignment horizont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26" xfId="0" applyFont="1" applyBorder="1" applyAlignment="1">
      <alignment horizontal="center"/>
    </xf>
    <xf numFmtId="0" fontId="0" fillId="0" borderId="28" xfId="0" applyBorder="1" applyAlignment="1">
      <alignment vertical="center" wrapText="1"/>
    </xf>
    <xf numFmtId="0" fontId="0" fillId="0" borderId="27" xfId="0" applyBorder="1" applyAlignment="1">
      <alignment horizontal="right"/>
    </xf>
    <xf numFmtId="0" fontId="1" fillId="0" borderId="1" xfId="0" applyFont="1" applyBorder="1"/>
    <xf numFmtId="9" fontId="1" fillId="0" borderId="1" xfId="0" applyNumberFormat="1" applyFont="1" applyBorder="1"/>
    <xf numFmtId="1" fontId="1" fillId="0" borderId="1" xfId="0" applyNumberFormat="1" applyFont="1" applyBorder="1" applyAlignment="1">
      <alignment vertical="center" wrapText="1"/>
    </xf>
    <xf numFmtId="9" fontId="0" fillId="0" borderId="1" xfId="0" applyNumberFormat="1" applyBorder="1" applyAlignment="1">
      <alignment vertical="center" wrapText="1"/>
    </xf>
    <xf numFmtId="0" fontId="0" fillId="0" borderId="29" xfId="0" applyBorder="1" applyAlignment="1">
      <alignment horizontal="right" vertical="center" wrapText="1"/>
    </xf>
    <xf numFmtId="0" fontId="0" fillId="0" borderId="31" xfId="0" applyBorder="1" applyAlignment="1">
      <alignment wrapText="1"/>
    </xf>
    <xf numFmtId="0" fontId="0" fillId="0" borderId="30" xfId="0" applyBorder="1" applyAlignment="1">
      <alignment vertical="center"/>
    </xf>
    <xf numFmtId="4" fontId="0" fillId="0" borderId="1" xfId="0" applyNumberFormat="1" applyBorder="1" applyAlignment="1">
      <alignment vertical="center" wrapText="1"/>
    </xf>
    <xf numFmtId="0" fontId="0" fillId="0" borderId="25" xfId="0" applyBorder="1" applyAlignment="1">
      <alignment vertical="center" wrapText="1"/>
    </xf>
    <xf numFmtId="4" fontId="0" fillId="0" borderId="32" xfId="0" applyNumberFormat="1" applyBorder="1" applyAlignment="1">
      <alignment vertical="center" wrapText="1"/>
    </xf>
    <xf numFmtId="0" fontId="0" fillId="0" borderId="26" xfId="0" applyBorder="1" applyAlignment="1">
      <alignment vertical="center" wrapText="1"/>
    </xf>
    <xf numFmtId="4" fontId="0" fillId="0" borderId="6" xfId="0" applyNumberFormat="1" applyBorder="1" applyAlignment="1">
      <alignment vertical="center" wrapText="1"/>
    </xf>
    <xf numFmtId="0" fontId="0" fillId="0" borderId="0" xfId="0" applyAlignment="1">
      <alignment wrapText="1"/>
    </xf>
    <xf numFmtId="0" fontId="0" fillId="0" borderId="27" xfId="0" applyFont="1" applyBorder="1" applyAlignment="1">
      <alignment horizontal="right"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 fillId="0" borderId="27" xfId="0" applyFont="1" applyBorder="1" applyAlignment="1">
      <alignment horizontal="left" vertical="center" wrapText="1"/>
    </xf>
    <xf numFmtId="4" fontId="2" fillId="0" borderId="0" xfId="0" applyNumberFormat="1" applyFont="1" applyBorder="1" applyAlignment="1">
      <alignment horizontal="center" vertical="center" wrapText="1"/>
    </xf>
    <xf numFmtId="4" fontId="0" fillId="0" borderId="11" xfId="0" applyNumberFormat="1" applyFill="1" applyBorder="1" applyAlignment="1">
      <alignment horizontal="center" vertical="center" wrapText="1"/>
    </xf>
    <xf numFmtId="4" fontId="0" fillId="0" borderId="28" xfId="0" applyNumberFormat="1" applyBorder="1" applyAlignment="1">
      <alignment horizontal="center" vertical="center" wrapText="1"/>
    </xf>
    <xf numFmtId="4" fontId="2" fillId="0" borderId="31" xfId="0" applyNumberFormat="1" applyFont="1" applyBorder="1" applyAlignment="1">
      <alignment horizontal="center" vertical="center" wrapText="1"/>
    </xf>
    <xf numFmtId="0" fontId="17" fillId="0" borderId="25" xfId="0" applyFont="1" applyBorder="1" applyAlignment="1">
      <alignment horizontal="center"/>
    </xf>
    <xf numFmtId="4" fontId="0" fillId="0" borderId="32" xfId="0" applyNumberFormat="1" applyBorder="1" applyAlignment="1">
      <alignment horizontal="center"/>
    </xf>
    <xf numFmtId="4" fontId="0" fillId="0" borderId="26" xfId="0" applyNumberFormat="1" applyBorder="1" applyAlignment="1">
      <alignment horizontal="center"/>
    </xf>
    <xf numFmtId="0" fontId="17" fillId="0" borderId="27" xfId="0" applyFont="1" applyBorder="1"/>
    <xf numFmtId="4" fontId="2" fillId="0" borderId="1" xfId="0" applyNumberFormat="1" applyFont="1" applyBorder="1" applyAlignment="1">
      <alignment horizontal="center"/>
    </xf>
    <xf numFmtId="4" fontId="2" fillId="0" borderId="28" xfId="0" applyNumberFormat="1" applyFont="1" applyBorder="1" applyAlignment="1">
      <alignment horizontal="center"/>
    </xf>
    <xf numFmtId="0" fontId="20" fillId="0" borderId="27" xfId="0" applyFont="1" applyBorder="1"/>
    <xf numFmtId="4" fontId="0" fillId="0" borderId="1" xfId="0" applyNumberFormat="1" applyFont="1" applyBorder="1" applyAlignment="1">
      <alignment horizontal="center"/>
    </xf>
    <xf numFmtId="0" fontId="20" fillId="0" borderId="27" xfId="0" applyFont="1" applyBorder="1" applyAlignment="1">
      <alignment vertical="center"/>
    </xf>
    <xf numFmtId="4" fontId="0" fillId="0" borderId="1" xfId="0" applyNumberFormat="1" applyFont="1" applyBorder="1" applyAlignment="1">
      <alignment horizontal="center" vertical="center"/>
    </xf>
    <xf numFmtId="0" fontId="4" fillId="0" borderId="27" xfId="0" applyFont="1" applyBorder="1"/>
    <xf numFmtId="4" fontId="0" fillId="0" borderId="28" xfId="0" applyNumberFormat="1" applyBorder="1"/>
    <xf numFmtId="0" fontId="0" fillId="0" borderId="27" xfId="0" applyFill="1" applyBorder="1"/>
    <xf numFmtId="0" fontId="0" fillId="0" borderId="27" xfId="0" applyFill="1" applyBorder="1" applyAlignment="1">
      <alignment horizontal="left"/>
    </xf>
    <xf numFmtId="0" fontId="0" fillId="0" borderId="27" xfId="0" applyFill="1" applyBorder="1" applyAlignment="1">
      <alignment horizontal="right"/>
    </xf>
    <xf numFmtId="4" fontId="0" fillId="0" borderId="1" xfId="0" applyNumberFormat="1" applyFill="1" applyBorder="1"/>
    <xf numFmtId="10" fontId="0" fillId="0" borderId="1" xfId="0" applyNumberFormat="1" applyFill="1" applyBorder="1"/>
    <xf numFmtId="4" fontId="0" fillId="0" borderId="28" xfId="0" applyNumberFormat="1" applyFill="1" applyBorder="1"/>
    <xf numFmtId="0" fontId="0" fillId="0" borderId="27" xfId="0" applyBorder="1" applyAlignment="1">
      <alignment horizontal="left"/>
    </xf>
    <xf numFmtId="0" fontId="4" fillId="0" borderId="27" xfId="0" applyFont="1" applyBorder="1" applyAlignment="1">
      <alignment horizontal="left"/>
    </xf>
    <xf numFmtId="4" fontId="4" fillId="0" borderId="1" xfId="0" applyNumberFormat="1" applyFont="1" applyBorder="1"/>
    <xf numFmtId="10" fontId="4" fillId="0" borderId="1" xfId="0" applyNumberFormat="1" applyFont="1" applyBorder="1"/>
    <xf numFmtId="4" fontId="4" fillId="0" borderId="28" xfId="0" applyNumberFormat="1" applyFont="1" applyBorder="1"/>
    <xf numFmtId="0" fontId="4" fillId="0" borderId="27" xfId="0" applyFont="1" applyFill="1" applyBorder="1" applyAlignment="1">
      <alignment horizontal="left"/>
    </xf>
    <xf numFmtId="4" fontId="2" fillId="0" borderId="1" xfId="0" applyNumberFormat="1" applyFont="1" applyBorder="1"/>
    <xf numFmtId="10" fontId="2" fillId="0" borderId="1" xfId="0" applyNumberFormat="1" applyFont="1" applyBorder="1"/>
    <xf numFmtId="4" fontId="2" fillId="0" borderId="28" xfId="0" applyNumberFormat="1" applyFont="1" applyBorder="1"/>
    <xf numFmtId="4" fontId="6" fillId="0" borderId="1" xfId="0" applyNumberFormat="1" applyFont="1" applyBorder="1"/>
    <xf numFmtId="10" fontId="6" fillId="0" borderId="1" xfId="0" applyNumberFormat="1" applyFont="1" applyBorder="1"/>
    <xf numFmtId="4" fontId="6" fillId="0" borderId="28" xfId="0" applyNumberFormat="1" applyFont="1" applyBorder="1"/>
    <xf numFmtId="0" fontId="6" fillId="0" borderId="27" xfId="0" applyFont="1" applyFill="1" applyBorder="1" applyAlignment="1">
      <alignment horizontal="left"/>
    </xf>
    <xf numFmtId="0" fontId="4" fillId="0" borderId="29" xfId="0" applyFont="1" applyBorder="1"/>
    <xf numFmtId="4" fontId="4" fillId="0" borderId="30" xfId="0" applyNumberFormat="1" applyFont="1" applyBorder="1"/>
    <xf numFmtId="0" fontId="0" fillId="0" borderId="30" xfId="0" applyBorder="1"/>
    <xf numFmtId="0" fontId="0" fillId="0" borderId="25" xfId="0" applyBorder="1"/>
    <xf numFmtId="4" fontId="0" fillId="0" borderId="32" xfId="0" applyNumberFormat="1" applyBorder="1"/>
    <xf numFmtId="4" fontId="0" fillId="0" borderId="26" xfId="0" applyNumberFormat="1" applyBorder="1"/>
    <xf numFmtId="0" fontId="2" fillId="0" borderId="29" xfId="0" applyFont="1" applyBorder="1"/>
    <xf numFmtId="14" fontId="2" fillId="0" borderId="30" xfId="0" applyNumberFormat="1" applyFont="1" applyBorder="1"/>
    <xf numFmtId="0" fontId="0" fillId="0" borderId="32" xfId="0" applyBorder="1" applyAlignment="1">
      <alignment horizontal="center"/>
    </xf>
    <xf numFmtId="4" fontId="18" fillId="0" borderId="0" xfId="0" applyNumberFormat="1" applyFont="1" applyFill="1"/>
    <xf numFmtId="0" fontId="22" fillId="0" borderId="27" xfId="0" applyFont="1" applyBorder="1" applyAlignment="1">
      <alignment horizontal="center"/>
    </xf>
    <xf numFmtId="2" fontId="22" fillId="0" borderId="28" xfId="0" applyNumberFormat="1" applyFont="1" applyBorder="1" applyAlignment="1">
      <alignment horizontal="center"/>
    </xf>
    <xf numFmtId="10" fontId="22" fillId="0" borderId="28" xfId="0" applyNumberFormat="1" applyFont="1" applyBorder="1" applyAlignment="1">
      <alignment horizontal="center"/>
    </xf>
    <xf numFmtId="0" fontId="22" fillId="0" borderId="29" xfId="0" applyFont="1" applyBorder="1" applyAlignment="1">
      <alignment horizontal="center"/>
    </xf>
    <xf numFmtId="4" fontId="22" fillId="0" borderId="31" xfId="0" applyNumberFormat="1" applyFont="1" applyBorder="1" applyAlignment="1">
      <alignment horizontal="center"/>
    </xf>
    <xf numFmtId="0" fontId="2" fillId="0" borderId="25" xfId="0" applyFont="1" applyBorder="1" applyAlignment="1">
      <alignment horizontal="center"/>
    </xf>
    <xf numFmtId="0" fontId="2" fillId="0" borderId="32" xfId="0" applyFont="1" applyBorder="1" applyAlignment="1">
      <alignment horizontal="center"/>
    </xf>
    <xf numFmtId="0" fontId="2" fillId="0" borderId="26" xfId="0" applyFont="1" applyBorder="1" applyAlignment="1">
      <alignment horizontal="center"/>
    </xf>
    <xf numFmtId="0" fontId="2" fillId="0" borderId="10" xfId="0" applyFont="1" applyBorder="1" applyAlignment="1">
      <alignment horizontal="center"/>
    </xf>
    <xf numFmtId="0" fontId="2" fillId="0" borderId="0"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13" fillId="0" borderId="13" xfId="0" applyFont="1" applyBorder="1" applyAlignment="1">
      <alignment horizontal="center"/>
    </xf>
    <xf numFmtId="0" fontId="13" fillId="0" borderId="19" xfId="0" applyFont="1" applyBorder="1" applyAlignment="1">
      <alignment horizontal="center"/>
    </xf>
    <xf numFmtId="0" fontId="22" fillId="0" borderId="25" xfId="0" applyFont="1" applyBorder="1" applyAlignment="1">
      <alignment horizontal="center"/>
    </xf>
    <xf numFmtId="0" fontId="22" fillId="0" borderId="26" xfId="0" applyFont="1" applyBorder="1" applyAlignment="1">
      <alignment horizontal="center"/>
    </xf>
  </cellXfs>
  <cellStyles count="155">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Monétaire" xfId="1" builtinId="4"/>
    <cellStyle name="Normal" xfId="0" builtinId="0"/>
    <cellStyle name="Pourcentage" xfId="1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marker>
            <c:symbol val="none"/>
          </c:marker>
          <c:cat>
            <c:numRef>
              <c:f>'CA et CV'!$C$2:$N$2</c:f>
              <c:numCache>
                <c:formatCode>[$-40C]mmm\-yy;@</c:formatCode>
                <c:ptCount val="12"/>
                <c:pt idx="0">
                  <c:v>41275.0</c:v>
                </c:pt>
                <c:pt idx="1">
                  <c:v>41306.0</c:v>
                </c:pt>
                <c:pt idx="2">
                  <c:v>41334.0</c:v>
                </c:pt>
                <c:pt idx="3">
                  <c:v>41365.0</c:v>
                </c:pt>
                <c:pt idx="4">
                  <c:v>41395.0</c:v>
                </c:pt>
                <c:pt idx="5">
                  <c:v>41426.0</c:v>
                </c:pt>
                <c:pt idx="6">
                  <c:v>41456.0</c:v>
                </c:pt>
                <c:pt idx="7">
                  <c:v>41487.0</c:v>
                </c:pt>
                <c:pt idx="8">
                  <c:v>41518.0</c:v>
                </c:pt>
                <c:pt idx="9">
                  <c:v>41548.0</c:v>
                </c:pt>
                <c:pt idx="10">
                  <c:v>41579.0</c:v>
                </c:pt>
                <c:pt idx="11">
                  <c:v>41609.0</c:v>
                </c:pt>
              </c:numCache>
            </c:numRef>
          </c:cat>
          <c:val>
            <c:numRef>
              <c:f>'CA et CV'!$C$20:$N$20</c:f>
              <c:numCache>
                <c:formatCode>#,##0.00</c:formatCode>
                <c:ptCount val="12"/>
                <c:pt idx="0">
                  <c:v>0.0</c:v>
                </c:pt>
                <c:pt idx="1">
                  <c:v>0.0</c:v>
                </c:pt>
                <c:pt idx="2">
                  <c:v>8400.0</c:v>
                </c:pt>
                <c:pt idx="3">
                  <c:v>25200.0</c:v>
                </c:pt>
                <c:pt idx="4">
                  <c:v>42000.0</c:v>
                </c:pt>
                <c:pt idx="5">
                  <c:v>67200.0</c:v>
                </c:pt>
                <c:pt idx="6">
                  <c:v>92400.0</c:v>
                </c:pt>
                <c:pt idx="7">
                  <c:v>126000.0</c:v>
                </c:pt>
                <c:pt idx="8">
                  <c:v>159600.0</c:v>
                </c:pt>
                <c:pt idx="9">
                  <c:v>193200.0</c:v>
                </c:pt>
                <c:pt idx="10">
                  <c:v>235200.0</c:v>
                </c:pt>
                <c:pt idx="11">
                  <c:v>277200.0</c:v>
                </c:pt>
              </c:numCache>
            </c:numRef>
          </c:val>
          <c:smooth val="0"/>
        </c:ser>
        <c:ser>
          <c:idx val="1"/>
          <c:order val="1"/>
          <c:marker>
            <c:symbol val="none"/>
          </c:marker>
          <c:cat>
            <c:numRef>
              <c:f>'CA et CV'!$C$2:$N$2</c:f>
              <c:numCache>
                <c:formatCode>[$-40C]mmm\-yy;@</c:formatCode>
                <c:ptCount val="12"/>
                <c:pt idx="0">
                  <c:v>41275.0</c:v>
                </c:pt>
                <c:pt idx="1">
                  <c:v>41306.0</c:v>
                </c:pt>
                <c:pt idx="2">
                  <c:v>41334.0</c:v>
                </c:pt>
                <c:pt idx="3">
                  <c:v>41365.0</c:v>
                </c:pt>
                <c:pt idx="4">
                  <c:v>41395.0</c:v>
                </c:pt>
                <c:pt idx="5">
                  <c:v>41426.0</c:v>
                </c:pt>
                <c:pt idx="6">
                  <c:v>41456.0</c:v>
                </c:pt>
                <c:pt idx="7">
                  <c:v>41487.0</c:v>
                </c:pt>
                <c:pt idx="8">
                  <c:v>41518.0</c:v>
                </c:pt>
                <c:pt idx="9">
                  <c:v>41548.0</c:v>
                </c:pt>
                <c:pt idx="10">
                  <c:v>41579.0</c:v>
                </c:pt>
                <c:pt idx="11">
                  <c:v>41609.0</c:v>
                </c:pt>
              </c:numCache>
            </c:numRef>
          </c:cat>
          <c:val>
            <c:numRef>
              <c:f>'CA et CV'!$C$24:$N$24</c:f>
              <c:numCache>
                <c:formatCode>#,##0.00</c:formatCode>
                <c:ptCount val="12"/>
                <c:pt idx="0">
                  <c:v>65984.28681097992</c:v>
                </c:pt>
                <c:pt idx="1">
                  <c:v>65984.28681097992</c:v>
                </c:pt>
                <c:pt idx="2">
                  <c:v>70975.28681097992</c:v>
                </c:pt>
                <c:pt idx="3">
                  <c:v>80957.28681097992</c:v>
                </c:pt>
                <c:pt idx="4">
                  <c:v>90939.28681097992</c:v>
                </c:pt>
                <c:pt idx="5">
                  <c:v>105912.2868109799</c:v>
                </c:pt>
                <c:pt idx="6">
                  <c:v>120885.2868109799</c:v>
                </c:pt>
                <c:pt idx="7">
                  <c:v>140849.2868109799</c:v>
                </c:pt>
                <c:pt idx="8">
                  <c:v>160813.2868109799</c:v>
                </c:pt>
                <c:pt idx="9">
                  <c:v>180777.2868109799</c:v>
                </c:pt>
                <c:pt idx="10">
                  <c:v>205732.2868109799</c:v>
                </c:pt>
                <c:pt idx="11">
                  <c:v>230687.2868109799</c:v>
                </c:pt>
              </c:numCache>
            </c:numRef>
          </c:val>
          <c:smooth val="0"/>
        </c:ser>
        <c:dLbls>
          <c:showLegendKey val="0"/>
          <c:showVal val="0"/>
          <c:showCatName val="0"/>
          <c:showSerName val="0"/>
          <c:showPercent val="0"/>
          <c:showBubbleSize val="0"/>
        </c:dLbls>
        <c:marker val="1"/>
        <c:smooth val="0"/>
        <c:axId val="2031658904"/>
        <c:axId val="2031661992"/>
      </c:lineChart>
      <c:dateAx>
        <c:axId val="2031658904"/>
        <c:scaling>
          <c:orientation val="minMax"/>
        </c:scaling>
        <c:delete val="0"/>
        <c:axPos val="b"/>
        <c:majorGridlines/>
        <c:numFmt formatCode="[$-40C]mmm\-yy;@" sourceLinked="1"/>
        <c:majorTickMark val="out"/>
        <c:minorTickMark val="none"/>
        <c:tickLblPos val="nextTo"/>
        <c:crossAx val="2031661992"/>
        <c:crosses val="autoZero"/>
        <c:auto val="1"/>
        <c:lblOffset val="100"/>
        <c:baseTimeUnit val="months"/>
      </c:dateAx>
      <c:valAx>
        <c:axId val="2031661992"/>
        <c:scaling>
          <c:orientation val="minMax"/>
        </c:scaling>
        <c:delete val="0"/>
        <c:axPos val="l"/>
        <c:majorGridlines/>
        <c:numFmt formatCode="#,##0.00" sourceLinked="1"/>
        <c:majorTickMark val="out"/>
        <c:minorTickMark val="none"/>
        <c:tickLblPos val="nextTo"/>
        <c:crossAx val="2031658904"/>
        <c:crosses val="autoZero"/>
        <c:crossBetween val="between"/>
      </c:valAx>
    </c:plotArea>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15</xdr:col>
      <xdr:colOff>330200</xdr:colOff>
      <xdr:row>16</xdr:row>
      <xdr:rowOff>0</xdr:rowOff>
    </xdr:from>
    <xdr:ext cx="184666" cy="261610"/>
    <xdr:sp macro="" textlink="">
      <xdr:nvSpPr>
        <xdr:cNvPr id="5" name="ZoneTexte 4"/>
        <xdr:cNvSpPr txBox="1"/>
      </xdr:nvSpPr>
      <xdr:spPr>
        <a:xfrm>
          <a:off x="14211300" y="9029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6</xdr:col>
      <xdr:colOff>355600</xdr:colOff>
      <xdr:row>34</xdr:row>
      <xdr:rowOff>114300</xdr:rowOff>
    </xdr:from>
    <xdr:ext cx="550207" cy="261610"/>
    <xdr:sp macro="" textlink="">
      <xdr:nvSpPr>
        <xdr:cNvPr id="2" name="ZoneTexte 1"/>
        <xdr:cNvSpPr txBox="1"/>
      </xdr:nvSpPr>
      <xdr:spPr>
        <a:xfrm>
          <a:off x="7683500" y="6375400"/>
          <a:ext cx="550207"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rgbClr val="FF0000"/>
              </a:solidFill>
            </a:rPr>
            <a:t>CV+CF</a:t>
          </a:r>
        </a:p>
      </xdr:txBody>
    </xdr:sp>
    <xdr:clientData/>
  </xdr:oneCellAnchor>
  <xdr:oneCellAnchor>
    <xdr:from>
      <xdr:col>10</xdr:col>
      <xdr:colOff>88900</xdr:colOff>
      <xdr:row>28</xdr:row>
      <xdr:rowOff>76200</xdr:rowOff>
    </xdr:from>
    <xdr:ext cx="351378" cy="261610"/>
    <xdr:sp macro="" textlink="">
      <xdr:nvSpPr>
        <xdr:cNvPr id="4" name="ZoneTexte 3"/>
        <xdr:cNvSpPr txBox="1"/>
      </xdr:nvSpPr>
      <xdr:spPr>
        <a:xfrm>
          <a:off x="10375900" y="5270500"/>
          <a:ext cx="351378"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rgbClr val="558ED5"/>
              </a:solidFill>
            </a:rPr>
            <a:t>CA</a:t>
          </a:r>
        </a:p>
      </xdr:txBody>
    </xdr:sp>
    <xdr:clientData/>
  </xdr:oneCellAnchor>
  <xdr:twoCellAnchor>
    <xdr:from>
      <xdr:col>5</xdr:col>
      <xdr:colOff>12700</xdr:colOff>
      <xdr:row>26</xdr:row>
      <xdr:rowOff>158750</xdr:rowOff>
    </xdr:from>
    <xdr:to>
      <xdr:col>11</xdr:col>
      <xdr:colOff>139700</xdr:colOff>
      <xdr:row>42</xdr:row>
      <xdr:rowOff>57150</xdr:rowOff>
    </xdr:to>
    <xdr:grpSp>
      <xdr:nvGrpSpPr>
        <xdr:cNvPr id="8" name="Grouper 7"/>
        <xdr:cNvGrpSpPr/>
      </xdr:nvGrpSpPr>
      <xdr:grpSpPr>
        <a:xfrm>
          <a:off x="6667500" y="5035550"/>
          <a:ext cx="4572000" cy="2755900"/>
          <a:chOff x="6667500" y="5035550"/>
          <a:chExt cx="4572000" cy="2755900"/>
        </a:xfrm>
      </xdr:grpSpPr>
      <xdr:graphicFrame macro="">
        <xdr:nvGraphicFramePr>
          <xdr:cNvPr id="3" name="Graphique 2"/>
          <xdr:cNvGraphicFramePr/>
        </xdr:nvGraphicFramePr>
        <xdr:xfrm>
          <a:off x="6667500" y="5035550"/>
          <a:ext cx="4572000" cy="27559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ZoneTexte 5"/>
          <xdr:cNvSpPr txBox="1"/>
        </xdr:nvSpPr>
        <xdr:spPr>
          <a:xfrm>
            <a:off x="7543800" y="5842000"/>
            <a:ext cx="1291965"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CA* = 162.589,62 €</a:t>
            </a:r>
          </a:p>
        </xdr:txBody>
      </xdr:sp>
      <xdr:sp macro="" textlink="">
        <xdr:nvSpPr>
          <xdr:cNvPr id="7" name="ZoneTexte 6"/>
          <xdr:cNvSpPr txBox="1"/>
        </xdr:nvSpPr>
        <xdr:spPr>
          <a:xfrm rot="16200000">
            <a:off x="9753600" y="6502400"/>
            <a:ext cx="865604"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03/10/2013</a:t>
            </a:r>
          </a:p>
        </xdr:txBody>
      </xdr:sp>
      <xdr:cxnSp macro="">
        <xdr:nvCxnSpPr>
          <xdr:cNvPr id="9" name="Connecteur droit 8"/>
          <xdr:cNvCxnSpPr/>
        </xdr:nvCxnSpPr>
        <xdr:spPr>
          <a:xfrm>
            <a:off x="10058400" y="6146800"/>
            <a:ext cx="0" cy="1092200"/>
          </a:xfrm>
          <a:prstGeom prst="line">
            <a:avLst/>
          </a:prstGeom>
          <a:ln w="3175" cmpd="sng">
            <a:prstDash val="dash"/>
          </a:ln>
        </xdr:spPr>
        <xdr:style>
          <a:lnRef idx="2">
            <a:schemeClr val="accent1"/>
          </a:lnRef>
          <a:fillRef idx="0">
            <a:schemeClr val="accent1"/>
          </a:fillRef>
          <a:effectRef idx="1">
            <a:schemeClr val="accent1"/>
          </a:effectRef>
          <a:fontRef idx="minor">
            <a:schemeClr val="tx1"/>
          </a:fontRef>
        </xdr:style>
      </xdr:cxnSp>
      <xdr:cxnSp macro="">
        <xdr:nvCxnSpPr>
          <xdr:cNvPr id="11" name="Connecteur droit 10"/>
          <xdr:cNvCxnSpPr/>
        </xdr:nvCxnSpPr>
        <xdr:spPr>
          <a:xfrm flipH="1" flipV="1">
            <a:off x="7442200" y="6134100"/>
            <a:ext cx="2641600" cy="12700"/>
          </a:xfrm>
          <a:prstGeom prst="line">
            <a:avLst/>
          </a:prstGeom>
          <a:ln w="3175" cmpd="sng">
            <a:prstDash val="dash"/>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25400</xdr:colOff>
      <xdr:row>10</xdr:row>
      <xdr:rowOff>139700</xdr:rowOff>
    </xdr:from>
    <xdr:to>
      <xdr:col>9</xdr:col>
      <xdr:colOff>804891</xdr:colOff>
      <xdr:row>23</xdr:row>
      <xdr:rowOff>165100</xdr:rowOff>
    </xdr:to>
    <xdr:grpSp>
      <xdr:nvGrpSpPr>
        <xdr:cNvPr id="2" name="Grouper 1"/>
        <xdr:cNvGrpSpPr/>
      </xdr:nvGrpSpPr>
      <xdr:grpSpPr>
        <a:xfrm>
          <a:off x="8140700" y="2730500"/>
          <a:ext cx="4906991" cy="2844800"/>
          <a:chOff x="3313535" y="584200"/>
          <a:chExt cx="4906991" cy="2844800"/>
        </a:xfrm>
      </xdr:grpSpPr>
      <xdr:cxnSp macro="">
        <xdr:nvCxnSpPr>
          <xdr:cNvPr id="3" name="Connecteur droit 2"/>
          <xdr:cNvCxnSpPr/>
        </xdr:nvCxnSpPr>
        <xdr:spPr>
          <a:xfrm>
            <a:off x="6088429" y="890375"/>
            <a:ext cx="37351" cy="1605957"/>
          </a:xfrm>
          <a:prstGeom prst="line">
            <a:avLst/>
          </a:prstGeom>
          <a:ln w="3175" cmpd="sng">
            <a:solidFill>
              <a:schemeClr val="tx1"/>
            </a:solidFill>
            <a:headEnd type="arrow"/>
            <a:tailEnd type="none"/>
          </a:ln>
        </xdr:spPr>
        <xdr:style>
          <a:lnRef idx="2">
            <a:schemeClr val="accent1"/>
          </a:lnRef>
          <a:fillRef idx="0">
            <a:schemeClr val="accent1"/>
          </a:fillRef>
          <a:effectRef idx="1">
            <a:schemeClr val="accent1"/>
          </a:effectRef>
          <a:fontRef idx="minor">
            <a:schemeClr val="tx1"/>
          </a:fontRef>
        </xdr:style>
      </xdr:cxnSp>
      <xdr:cxnSp macro="">
        <xdr:nvCxnSpPr>
          <xdr:cNvPr id="4" name="Connecteur droit 3"/>
          <xdr:cNvCxnSpPr/>
        </xdr:nvCxnSpPr>
        <xdr:spPr>
          <a:xfrm flipH="1">
            <a:off x="6088430" y="2499339"/>
            <a:ext cx="1901837" cy="0"/>
          </a:xfrm>
          <a:prstGeom prst="line">
            <a:avLst/>
          </a:prstGeom>
          <a:ln w="3175" cmpd="sng">
            <a:solidFill>
              <a:schemeClr val="tx1"/>
            </a:solidFill>
            <a:headEnd type="arrow"/>
            <a:tailEnd type="none"/>
          </a:ln>
        </xdr:spPr>
        <xdr:style>
          <a:lnRef idx="2">
            <a:schemeClr val="accent1"/>
          </a:lnRef>
          <a:fillRef idx="0">
            <a:schemeClr val="accent1"/>
          </a:fillRef>
          <a:effectRef idx="1">
            <a:schemeClr val="accent1"/>
          </a:effectRef>
          <a:fontRef idx="minor">
            <a:schemeClr val="tx1"/>
          </a:fontRef>
        </xdr:style>
      </xdr:cxnSp>
      <xdr:sp macro="" textlink="">
        <xdr:nvSpPr>
          <xdr:cNvPr id="5" name="Forme libre 4"/>
          <xdr:cNvSpPr/>
        </xdr:nvSpPr>
        <xdr:spPr>
          <a:xfrm>
            <a:off x="6181807" y="1114462"/>
            <a:ext cx="1550068" cy="1288501"/>
          </a:xfrm>
          <a:custGeom>
            <a:avLst/>
            <a:gdLst>
              <a:gd name="connsiteX0" fmla="*/ 0 w 1550068"/>
              <a:gd name="connsiteY0" fmla="*/ 0 h 1288501"/>
              <a:gd name="connsiteX1" fmla="*/ 0 w 1550068"/>
              <a:gd name="connsiteY1" fmla="*/ 0 h 1288501"/>
              <a:gd name="connsiteX2" fmla="*/ 37351 w 1550068"/>
              <a:gd name="connsiteY2" fmla="*/ 224087 h 1288501"/>
              <a:gd name="connsiteX3" fmla="*/ 37351 w 1550068"/>
              <a:gd name="connsiteY3" fmla="*/ 224087 h 1288501"/>
              <a:gd name="connsiteX4" fmla="*/ 186755 w 1550068"/>
              <a:gd name="connsiteY4" fmla="*/ 672261 h 1288501"/>
              <a:gd name="connsiteX5" fmla="*/ 429537 w 1550068"/>
              <a:gd name="connsiteY5" fmla="*/ 971044 h 1288501"/>
              <a:gd name="connsiteX6" fmla="*/ 765696 w 1550068"/>
              <a:gd name="connsiteY6" fmla="*/ 1139109 h 1288501"/>
              <a:gd name="connsiteX7" fmla="*/ 1157882 w 1550068"/>
              <a:gd name="connsiteY7" fmla="*/ 1213805 h 1288501"/>
              <a:gd name="connsiteX8" fmla="*/ 1550068 w 1550068"/>
              <a:gd name="connsiteY8" fmla="*/ 1288501 h 1288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50068" h="1288501">
                <a:moveTo>
                  <a:pt x="0" y="0"/>
                </a:moveTo>
                <a:lnTo>
                  <a:pt x="0" y="0"/>
                </a:lnTo>
                <a:lnTo>
                  <a:pt x="37351" y="224087"/>
                </a:lnTo>
                <a:lnTo>
                  <a:pt x="37351" y="224087"/>
                </a:lnTo>
                <a:lnTo>
                  <a:pt x="186755" y="672261"/>
                </a:lnTo>
                <a:lnTo>
                  <a:pt x="429537" y="971044"/>
                </a:lnTo>
                <a:lnTo>
                  <a:pt x="765696" y="1139109"/>
                </a:lnTo>
                <a:lnTo>
                  <a:pt x="1157882" y="1213805"/>
                </a:lnTo>
                <a:lnTo>
                  <a:pt x="1550068" y="1288501"/>
                </a:lnTo>
              </a:path>
            </a:pathLst>
          </a:custGeom>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fr-FR"/>
          </a:p>
        </xdr:txBody>
      </xdr:sp>
      <xdr:sp macro="" textlink="">
        <xdr:nvSpPr>
          <xdr:cNvPr id="6" name="Ellipse 5"/>
          <xdr:cNvSpPr/>
        </xdr:nvSpPr>
        <xdr:spPr>
          <a:xfrm>
            <a:off x="6310094" y="1647476"/>
            <a:ext cx="78006" cy="87812"/>
          </a:xfrm>
          <a:prstGeom prst="ellipse">
            <a:avLst/>
          </a:prstGeom>
          <a:solidFill>
            <a:schemeClr val="tx1"/>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7" name="Connecteur droit 6"/>
          <xdr:cNvCxnSpPr>
            <a:endCxn id="6" idx="2"/>
          </xdr:cNvCxnSpPr>
        </xdr:nvCxnSpPr>
        <xdr:spPr>
          <a:xfrm flipV="1">
            <a:off x="6088429" y="1691382"/>
            <a:ext cx="221665" cy="4068"/>
          </a:xfrm>
          <a:prstGeom prst="line">
            <a:avLst/>
          </a:prstGeom>
          <a:ln w="9525" cmpd="sng">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cxnSp macro="">
        <xdr:nvCxnSpPr>
          <xdr:cNvPr id="8" name="Connecteur droit 7"/>
          <xdr:cNvCxnSpPr>
            <a:stCxn id="6" idx="4"/>
          </xdr:cNvCxnSpPr>
        </xdr:nvCxnSpPr>
        <xdr:spPr>
          <a:xfrm>
            <a:off x="6349097" y="1735288"/>
            <a:ext cx="16778" cy="769787"/>
          </a:xfrm>
          <a:prstGeom prst="line">
            <a:avLst/>
          </a:prstGeom>
          <a:ln w="9525" cmpd="sng">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sp macro="" textlink="">
        <xdr:nvSpPr>
          <xdr:cNvPr id="9" name="ZoneTexte 8"/>
          <xdr:cNvSpPr txBox="1"/>
        </xdr:nvSpPr>
        <xdr:spPr>
          <a:xfrm>
            <a:off x="5358236" y="1504950"/>
            <a:ext cx="778004" cy="307777"/>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400"/>
              <a:t>9,52%</a:t>
            </a:r>
          </a:p>
        </xdr:txBody>
      </xdr:sp>
      <xdr:sp macro="" textlink="">
        <xdr:nvSpPr>
          <xdr:cNvPr id="10" name="ZoneTexte 9"/>
          <xdr:cNvSpPr txBox="1"/>
        </xdr:nvSpPr>
        <xdr:spPr>
          <a:xfrm>
            <a:off x="6130925" y="2454275"/>
            <a:ext cx="505267" cy="307777"/>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400"/>
              <a:t>3,04</a:t>
            </a:r>
          </a:p>
        </xdr:txBody>
      </xdr:sp>
      <xdr:sp macro="" textlink="">
        <xdr:nvSpPr>
          <xdr:cNvPr id="11" name="ZoneTexte 10"/>
          <xdr:cNvSpPr txBox="1"/>
        </xdr:nvSpPr>
        <xdr:spPr>
          <a:xfrm rot="2100000">
            <a:off x="6389994" y="1790700"/>
            <a:ext cx="844903" cy="338554"/>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a:t>28,97 %</a:t>
            </a:r>
          </a:p>
        </xdr:txBody>
      </xdr:sp>
      <xdr:sp macro="" textlink="">
        <xdr:nvSpPr>
          <xdr:cNvPr id="12" name="ZoneTexte 11"/>
          <xdr:cNvSpPr txBox="1"/>
        </xdr:nvSpPr>
        <xdr:spPr>
          <a:xfrm>
            <a:off x="7556500" y="2489200"/>
            <a:ext cx="664026"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a:t>CA/A</a:t>
            </a:r>
          </a:p>
        </xdr:txBody>
      </xdr:sp>
      <xdr:sp macro="" textlink="">
        <xdr:nvSpPr>
          <xdr:cNvPr id="13" name="ZoneTexte 12"/>
          <xdr:cNvSpPr txBox="1"/>
        </xdr:nvSpPr>
        <xdr:spPr>
          <a:xfrm>
            <a:off x="5588000" y="584200"/>
            <a:ext cx="922022"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a:t>BN1/CA</a:t>
            </a:r>
          </a:p>
        </xdr:txBody>
      </xdr:sp>
      <xdr:sp macro="" textlink="">
        <xdr:nvSpPr>
          <xdr:cNvPr id="14" name="ZoneTexte 13"/>
          <xdr:cNvSpPr txBox="1"/>
        </xdr:nvSpPr>
        <xdr:spPr>
          <a:xfrm>
            <a:off x="6705600" y="1460500"/>
            <a:ext cx="1258465"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a:t>Re = BN1/A</a:t>
            </a:r>
          </a:p>
        </xdr:txBody>
      </xdr:sp>
      <xdr:cxnSp macro="">
        <xdr:nvCxnSpPr>
          <xdr:cNvPr id="15" name="Connecteur droit 14"/>
          <xdr:cNvCxnSpPr/>
        </xdr:nvCxnSpPr>
        <xdr:spPr>
          <a:xfrm>
            <a:off x="4081829" y="1460843"/>
            <a:ext cx="37351" cy="1605957"/>
          </a:xfrm>
          <a:prstGeom prst="line">
            <a:avLst/>
          </a:prstGeom>
          <a:ln w="3175" cmpd="sng">
            <a:solidFill>
              <a:schemeClr val="tx1"/>
            </a:solidFill>
            <a:headEnd type="arrow"/>
            <a:tailEnd type="none"/>
          </a:ln>
        </xdr:spPr>
        <xdr:style>
          <a:lnRef idx="2">
            <a:schemeClr val="accent1"/>
          </a:lnRef>
          <a:fillRef idx="0">
            <a:schemeClr val="accent1"/>
          </a:fillRef>
          <a:effectRef idx="1">
            <a:schemeClr val="accent1"/>
          </a:effectRef>
          <a:fontRef idx="minor">
            <a:schemeClr val="tx1"/>
          </a:fontRef>
        </xdr:style>
      </xdr:cxnSp>
      <xdr:cxnSp macro="">
        <xdr:nvCxnSpPr>
          <xdr:cNvPr id="16" name="Connecteur droit 15"/>
          <xdr:cNvCxnSpPr/>
        </xdr:nvCxnSpPr>
        <xdr:spPr>
          <a:xfrm flipH="1">
            <a:off x="4081830" y="3069807"/>
            <a:ext cx="1901837" cy="0"/>
          </a:xfrm>
          <a:prstGeom prst="line">
            <a:avLst/>
          </a:prstGeom>
          <a:ln w="3175" cmpd="sng">
            <a:solidFill>
              <a:schemeClr val="tx1"/>
            </a:solidFill>
            <a:headEnd type="arrow"/>
            <a:tailEnd type="none"/>
          </a:ln>
        </xdr:spPr>
        <xdr:style>
          <a:lnRef idx="2">
            <a:schemeClr val="accent1"/>
          </a:lnRef>
          <a:fillRef idx="0">
            <a:schemeClr val="accent1"/>
          </a:fillRef>
          <a:effectRef idx="1">
            <a:schemeClr val="accent1"/>
          </a:effectRef>
          <a:fontRef idx="minor">
            <a:schemeClr val="tx1"/>
          </a:fontRef>
        </xdr:style>
      </xdr:cxnSp>
      <xdr:sp macro="" textlink="">
        <xdr:nvSpPr>
          <xdr:cNvPr id="17" name="Forme libre 16"/>
          <xdr:cNvSpPr/>
        </xdr:nvSpPr>
        <xdr:spPr>
          <a:xfrm>
            <a:off x="4175207" y="1684930"/>
            <a:ext cx="1550068" cy="1288501"/>
          </a:xfrm>
          <a:custGeom>
            <a:avLst/>
            <a:gdLst>
              <a:gd name="connsiteX0" fmla="*/ 0 w 1550068"/>
              <a:gd name="connsiteY0" fmla="*/ 0 h 1288501"/>
              <a:gd name="connsiteX1" fmla="*/ 0 w 1550068"/>
              <a:gd name="connsiteY1" fmla="*/ 0 h 1288501"/>
              <a:gd name="connsiteX2" fmla="*/ 37351 w 1550068"/>
              <a:gd name="connsiteY2" fmla="*/ 224087 h 1288501"/>
              <a:gd name="connsiteX3" fmla="*/ 37351 w 1550068"/>
              <a:gd name="connsiteY3" fmla="*/ 224087 h 1288501"/>
              <a:gd name="connsiteX4" fmla="*/ 186755 w 1550068"/>
              <a:gd name="connsiteY4" fmla="*/ 672261 h 1288501"/>
              <a:gd name="connsiteX5" fmla="*/ 429537 w 1550068"/>
              <a:gd name="connsiteY5" fmla="*/ 971044 h 1288501"/>
              <a:gd name="connsiteX6" fmla="*/ 765696 w 1550068"/>
              <a:gd name="connsiteY6" fmla="*/ 1139109 h 1288501"/>
              <a:gd name="connsiteX7" fmla="*/ 1157882 w 1550068"/>
              <a:gd name="connsiteY7" fmla="*/ 1213805 h 1288501"/>
              <a:gd name="connsiteX8" fmla="*/ 1550068 w 1550068"/>
              <a:gd name="connsiteY8" fmla="*/ 1288501 h 1288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50068" h="1288501">
                <a:moveTo>
                  <a:pt x="0" y="0"/>
                </a:moveTo>
                <a:lnTo>
                  <a:pt x="0" y="0"/>
                </a:lnTo>
                <a:lnTo>
                  <a:pt x="37351" y="224087"/>
                </a:lnTo>
                <a:lnTo>
                  <a:pt x="37351" y="224087"/>
                </a:lnTo>
                <a:lnTo>
                  <a:pt x="186755" y="672261"/>
                </a:lnTo>
                <a:lnTo>
                  <a:pt x="429537" y="971044"/>
                </a:lnTo>
                <a:lnTo>
                  <a:pt x="765696" y="1139109"/>
                </a:lnTo>
                <a:lnTo>
                  <a:pt x="1157882" y="1213805"/>
                </a:lnTo>
                <a:lnTo>
                  <a:pt x="1550068" y="1288501"/>
                </a:lnTo>
              </a:path>
            </a:pathLst>
          </a:custGeom>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fr-FR"/>
          </a:p>
        </xdr:txBody>
      </xdr:sp>
      <xdr:sp macro="" textlink="">
        <xdr:nvSpPr>
          <xdr:cNvPr id="18" name="Ellipse 17"/>
          <xdr:cNvSpPr/>
        </xdr:nvSpPr>
        <xdr:spPr>
          <a:xfrm>
            <a:off x="4303494" y="2217944"/>
            <a:ext cx="78006" cy="87812"/>
          </a:xfrm>
          <a:prstGeom prst="ellipse">
            <a:avLst/>
          </a:prstGeom>
          <a:solidFill>
            <a:schemeClr val="tx1"/>
          </a:solidFill>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FR"/>
          </a:p>
        </xdr:txBody>
      </xdr:sp>
      <xdr:cxnSp macro="">
        <xdr:nvCxnSpPr>
          <xdr:cNvPr id="19" name="Connecteur droit 18"/>
          <xdr:cNvCxnSpPr>
            <a:endCxn id="18" idx="2"/>
          </xdr:cNvCxnSpPr>
        </xdr:nvCxnSpPr>
        <xdr:spPr>
          <a:xfrm flipV="1">
            <a:off x="4081829" y="2261850"/>
            <a:ext cx="221665" cy="4068"/>
          </a:xfrm>
          <a:prstGeom prst="line">
            <a:avLst/>
          </a:prstGeom>
          <a:ln w="9525" cmpd="sng">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cxnSp macro="">
        <xdr:nvCxnSpPr>
          <xdr:cNvPr id="20" name="Connecteur droit 19"/>
          <xdr:cNvCxnSpPr>
            <a:stCxn id="18" idx="4"/>
          </xdr:cNvCxnSpPr>
        </xdr:nvCxnSpPr>
        <xdr:spPr>
          <a:xfrm>
            <a:off x="4342497" y="2305756"/>
            <a:ext cx="16778" cy="769787"/>
          </a:xfrm>
          <a:prstGeom prst="line">
            <a:avLst/>
          </a:prstGeom>
          <a:ln w="9525" cmpd="sng">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sp macro="" textlink="">
        <xdr:nvSpPr>
          <xdr:cNvPr id="21" name="ZoneTexte 20"/>
          <xdr:cNvSpPr txBox="1"/>
        </xdr:nvSpPr>
        <xdr:spPr>
          <a:xfrm>
            <a:off x="3435350" y="2088118"/>
            <a:ext cx="721785" cy="307777"/>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400"/>
              <a:t>28,97%</a:t>
            </a:r>
          </a:p>
        </xdr:txBody>
      </xdr:sp>
      <xdr:sp macro="" textlink="">
        <xdr:nvSpPr>
          <xdr:cNvPr id="22" name="ZoneTexte 21"/>
          <xdr:cNvSpPr txBox="1"/>
        </xdr:nvSpPr>
        <xdr:spPr>
          <a:xfrm>
            <a:off x="4124325" y="3024743"/>
            <a:ext cx="505267" cy="307777"/>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400"/>
              <a:t>1,75</a:t>
            </a:r>
          </a:p>
        </xdr:txBody>
      </xdr:sp>
      <xdr:sp macro="" textlink="">
        <xdr:nvSpPr>
          <xdr:cNvPr id="23" name="ZoneTexte 22"/>
          <xdr:cNvSpPr txBox="1"/>
        </xdr:nvSpPr>
        <xdr:spPr>
          <a:xfrm rot="2040000">
            <a:off x="4358700" y="2492744"/>
            <a:ext cx="1133811" cy="338554"/>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b="1"/>
              <a:t>50,83 %</a:t>
            </a:r>
          </a:p>
        </xdr:txBody>
      </xdr:sp>
      <xdr:sp macro="" textlink="">
        <xdr:nvSpPr>
          <xdr:cNvPr id="24" name="ZoneTexte 23"/>
          <xdr:cNvSpPr txBox="1"/>
        </xdr:nvSpPr>
        <xdr:spPr>
          <a:xfrm>
            <a:off x="5549900" y="3059668"/>
            <a:ext cx="649712"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a:t>A/CP</a:t>
            </a:r>
          </a:p>
        </xdr:txBody>
      </xdr:sp>
      <xdr:sp macro="" textlink="">
        <xdr:nvSpPr>
          <xdr:cNvPr id="25" name="ZoneTexte 24"/>
          <xdr:cNvSpPr txBox="1"/>
        </xdr:nvSpPr>
        <xdr:spPr>
          <a:xfrm>
            <a:off x="3313535" y="1103868"/>
            <a:ext cx="1258465"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a:t>Re = BN1/A</a:t>
            </a:r>
          </a:p>
        </xdr:txBody>
      </xdr:sp>
      <xdr:cxnSp macro="">
        <xdr:nvCxnSpPr>
          <xdr:cNvPr id="26" name="Connecteur droit avec flèche 25"/>
          <xdr:cNvCxnSpPr>
            <a:stCxn id="6" idx="2"/>
          </xdr:cNvCxnSpPr>
        </xdr:nvCxnSpPr>
        <xdr:spPr>
          <a:xfrm flipH="1">
            <a:off x="4076700" y="1691382"/>
            <a:ext cx="2233394" cy="569218"/>
          </a:xfrm>
          <a:prstGeom prst="straightConnector1">
            <a:avLst/>
          </a:prstGeom>
          <a:ln w="3175" cmpd="sng">
            <a:solidFill>
              <a:srgbClr val="000000"/>
            </a:solidFill>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27" name="ZoneTexte 26"/>
          <xdr:cNvSpPr txBox="1"/>
        </xdr:nvSpPr>
        <xdr:spPr>
          <a:xfrm rot="2120894">
            <a:off x="4394200" y="2286000"/>
            <a:ext cx="1522835" cy="369332"/>
          </a:xfrm>
          <a:prstGeom prst="rect">
            <a:avLst/>
          </a:prstGeom>
          <a:noFill/>
        </xdr:spPr>
        <xdr:txBody>
          <a:bodyPr wrap="square" rtlCol="0">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b="1"/>
              <a:t>Rf = BN1/CP</a:t>
            </a: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tabSelected="1" workbookViewId="0">
      <selection activeCell="D27" sqref="D27"/>
    </sheetView>
  </sheetViews>
  <sheetFormatPr baseColWidth="10" defaultRowHeight="14" x14ac:dyDescent="0"/>
  <cols>
    <col min="1" max="1" width="51.6640625" customWidth="1"/>
    <col min="2" max="2" width="7.6640625" bestFit="1" customWidth="1"/>
    <col min="3" max="3" width="98.33203125" customWidth="1"/>
    <col min="4" max="4" width="4.83203125" customWidth="1"/>
    <col min="5" max="6" width="7.5" customWidth="1"/>
    <col min="7" max="16" width="8.6640625" bestFit="1" customWidth="1"/>
    <col min="17" max="17" width="7.1640625" bestFit="1" customWidth="1"/>
  </cols>
  <sheetData>
    <row r="1" spans="1:22" ht="15" thickTop="1">
      <c r="A1" s="193" t="s">
        <v>12</v>
      </c>
      <c r="B1" s="194"/>
      <c r="C1" s="122" t="s">
        <v>264</v>
      </c>
      <c r="S1" s="71"/>
      <c r="T1" s="71"/>
      <c r="U1" s="71"/>
      <c r="V1" s="71"/>
    </row>
    <row r="2" spans="1:22">
      <c r="A2" s="84"/>
      <c r="B2" s="3" t="s">
        <v>4</v>
      </c>
      <c r="C2" s="123"/>
    </row>
    <row r="3" spans="1:22">
      <c r="A3" s="93" t="s">
        <v>284</v>
      </c>
      <c r="B3" s="3"/>
      <c r="C3" s="123"/>
    </row>
    <row r="4" spans="1:22">
      <c r="A4" s="124" t="s">
        <v>3</v>
      </c>
      <c r="B4" s="125">
        <v>4</v>
      </c>
      <c r="C4" s="77"/>
    </row>
    <row r="5" spans="1:22" s="1" customFormat="1">
      <c r="A5" s="112" t="s">
        <v>5</v>
      </c>
      <c r="B5" s="5">
        <v>7500</v>
      </c>
      <c r="C5" s="123" t="s">
        <v>344</v>
      </c>
    </row>
    <row r="6" spans="1:22" s="1" customFormat="1">
      <c r="A6" s="80" t="s">
        <v>285</v>
      </c>
      <c r="B6" s="5"/>
      <c r="C6" s="123"/>
    </row>
    <row r="7" spans="1:22" s="1" customFormat="1">
      <c r="A7" s="112" t="s">
        <v>263</v>
      </c>
      <c r="B7" s="5">
        <v>12000</v>
      </c>
      <c r="C7" s="123" t="s">
        <v>174</v>
      </c>
    </row>
    <row r="8" spans="1:22" s="1" customFormat="1">
      <c r="A8" s="112" t="s">
        <v>8</v>
      </c>
      <c r="B8" s="5">
        <v>3</v>
      </c>
      <c r="C8" s="123" t="s">
        <v>342</v>
      </c>
    </row>
    <row r="9" spans="1:22" s="1" customFormat="1">
      <c r="A9" s="112" t="s">
        <v>198</v>
      </c>
      <c r="B9" s="5">
        <v>15000</v>
      </c>
      <c r="C9" s="123" t="s">
        <v>343</v>
      </c>
    </row>
    <row r="10" spans="1:22" s="1" customFormat="1">
      <c r="A10" s="112" t="s">
        <v>199</v>
      </c>
      <c r="B10" s="6">
        <v>0.06</v>
      </c>
      <c r="C10" s="123"/>
    </row>
    <row r="11" spans="1:22" s="1" customFormat="1">
      <c r="A11" s="112" t="s">
        <v>13</v>
      </c>
      <c r="B11" s="5">
        <v>36</v>
      </c>
      <c r="C11" s="123"/>
    </row>
    <row r="12" spans="1:22" s="1" customFormat="1" ht="28">
      <c r="A12" s="112" t="s">
        <v>243</v>
      </c>
      <c r="B12" s="6">
        <v>0.08</v>
      </c>
      <c r="C12" s="123" t="s">
        <v>345</v>
      </c>
    </row>
    <row r="13" spans="1:22" s="1" customFormat="1">
      <c r="A13" s="80" t="s">
        <v>286</v>
      </c>
      <c r="B13" s="6"/>
      <c r="C13" s="123"/>
    </row>
    <row r="14" spans="1:22" s="1" customFormat="1">
      <c r="A14" s="112" t="s">
        <v>262</v>
      </c>
      <c r="B14" s="5">
        <v>2000</v>
      </c>
      <c r="C14" s="123"/>
    </row>
    <row r="15" spans="1:22" s="1" customFormat="1">
      <c r="A15" s="112" t="s">
        <v>2</v>
      </c>
      <c r="B15" s="6">
        <v>0.5</v>
      </c>
      <c r="C15" s="123"/>
    </row>
    <row r="16" spans="1:22" s="1" customFormat="1">
      <c r="A16" s="112" t="s">
        <v>9</v>
      </c>
      <c r="B16" s="5">
        <v>225</v>
      </c>
      <c r="C16" s="123"/>
    </row>
    <row r="17" spans="1:3">
      <c r="A17" s="112" t="s">
        <v>292</v>
      </c>
      <c r="B17" s="126">
        <v>0.05</v>
      </c>
      <c r="C17" s="77"/>
    </row>
    <row r="18" spans="1:3" s="1" customFormat="1">
      <c r="A18" s="80" t="s">
        <v>288</v>
      </c>
      <c r="B18" s="5"/>
      <c r="C18" s="123"/>
    </row>
    <row r="19" spans="1:3" s="1" customFormat="1">
      <c r="A19" s="112" t="s">
        <v>346</v>
      </c>
      <c r="B19" s="6">
        <v>0.1</v>
      </c>
      <c r="C19" s="123"/>
    </row>
    <row r="20" spans="1:3" s="1" customFormat="1">
      <c r="A20" s="112" t="s">
        <v>250</v>
      </c>
      <c r="B20" s="127">
        <v>500</v>
      </c>
      <c r="C20" s="123" t="s">
        <v>349</v>
      </c>
    </row>
    <row r="21" spans="1:3" s="1" customFormat="1">
      <c r="A21" s="80" t="s">
        <v>287</v>
      </c>
      <c r="B21" s="6"/>
      <c r="C21" s="123"/>
    </row>
    <row r="22" spans="1:3" s="1" customFormat="1">
      <c r="A22" s="138" t="s">
        <v>356</v>
      </c>
      <c r="B22" s="127">
        <v>7</v>
      </c>
      <c r="C22" s="123"/>
    </row>
    <row r="23" spans="1:3" s="1" customFormat="1">
      <c r="A23" s="112" t="s">
        <v>6</v>
      </c>
      <c r="B23" s="5">
        <v>1200</v>
      </c>
      <c r="C23" s="123"/>
    </row>
    <row r="24" spans="1:3" s="1" customFormat="1">
      <c r="A24" s="112" t="s">
        <v>197</v>
      </c>
      <c r="B24" s="5">
        <v>30</v>
      </c>
      <c r="C24" s="123"/>
    </row>
    <row r="25" spans="1:3" s="1" customFormat="1">
      <c r="A25" s="112" t="s">
        <v>252</v>
      </c>
      <c r="B25" s="5">
        <v>90</v>
      </c>
      <c r="C25" s="123"/>
    </row>
    <row r="26" spans="1:3" s="1" customFormat="1" ht="28">
      <c r="A26" s="112" t="s">
        <v>253</v>
      </c>
      <c r="B26" s="5">
        <v>30</v>
      </c>
      <c r="C26" s="123" t="s">
        <v>352</v>
      </c>
    </row>
    <row r="27" spans="1:3" s="1" customFormat="1">
      <c r="A27" s="80" t="s">
        <v>289</v>
      </c>
      <c r="B27" s="5"/>
      <c r="C27" s="123"/>
    </row>
    <row r="28" spans="1:3" s="1" customFormat="1">
      <c r="A28" s="112" t="s">
        <v>347</v>
      </c>
      <c r="B28" s="6">
        <v>0.05</v>
      </c>
      <c r="C28" s="123"/>
    </row>
    <row r="29" spans="1:3" s="1" customFormat="1" ht="28">
      <c r="A29" s="112" t="s">
        <v>7</v>
      </c>
      <c r="B29" s="7">
        <v>0.2</v>
      </c>
      <c r="C29" s="123" t="s">
        <v>350</v>
      </c>
    </row>
    <row r="30" spans="1:3" s="1" customFormat="1">
      <c r="A30" s="112" t="s">
        <v>134</v>
      </c>
      <c r="B30" s="6">
        <v>0</v>
      </c>
      <c r="C30" s="123" t="s">
        <v>348</v>
      </c>
    </row>
    <row r="31" spans="1:3" s="1" customFormat="1">
      <c r="A31" s="112" t="s">
        <v>11</v>
      </c>
      <c r="B31" s="7">
        <f>1/3</f>
        <v>0.33333333333333331</v>
      </c>
      <c r="C31" s="123" t="s">
        <v>351</v>
      </c>
    </row>
    <row r="32" spans="1:3" s="1" customFormat="1">
      <c r="A32" s="80" t="s">
        <v>293</v>
      </c>
      <c r="B32" s="7"/>
      <c r="C32" s="123"/>
    </row>
    <row r="33" spans="1:3" s="1" customFormat="1">
      <c r="A33" s="112" t="s">
        <v>291</v>
      </c>
      <c r="B33" s="6">
        <v>0.5</v>
      </c>
      <c r="C33" s="123"/>
    </row>
    <row r="34" spans="1:3" s="1" customFormat="1" ht="16" customHeight="1">
      <c r="A34" s="112" t="s">
        <v>357</v>
      </c>
      <c r="B34" s="4">
        <f>ROUNDUP(B16*B33,0)</f>
        <v>113</v>
      </c>
      <c r="C34" s="123"/>
    </row>
    <row r="35" spans="1:3" s="121" customFormat="1">
      <c r="A35" s="80" t="s">
        <v>294</v>
      </c>
      <c r="B35" s="7"/>
      <c r="C35" s="123"/>
    </row>
    <row r="36" spans="1:3" s="1" customFormat="1" ht="16" customHeight="1">
      <c r="A36" s="112" t="s">
        <v>358</v>
      </c>
      <c r="B36" s="6">
        <v>0.8</v>
      </c>
      <c r="C36" s="123"/>
    </row>
    <row r="37" spans="1:3">
      <c r="A37" s="112" t="s">
        <v>271</v>
      </c>
      <c r="B37" s="3">
        <f>B34-B41</f>
        <v>90</v>
      </c>
      <c r="C37" s="77"/>
    </row>
    <row r="38" spans="1:3" s="1" customFormat="1" ht="28">
      <c r="A38" s="112" t="s">
        <v>295</v>
      </c>
      <c r="B38" s="5">
        <v>70</v>
      </c>
      <c r="C38" s="123"/>
    </row>
    <row r="39" spans="1:3" s="1" customFormat="1">
      <c r="A39" s="80" t="s">
        <v>296</v>
      </c>
      <c r="B39" s="5"/>
      <c r="C39" s="123"/>
    </row>
    <row r="40" spans="1:3" s="1" customFormat="1" ht="16" customHeight="1">
      <c r="A40" s="112" t="s">
        <v>359</v>
      </c>
      <c r="B40" s="128">
        <f>1-B36</f>
        <v>0.19999999999999996</v>
      </c>
      <c r="C40" s="123"/>
    </row>
    <row r="41" spans="1:3">
      <c r="A41" s="112" t="s">
        <v>270</v>
      </c>
      <c r="B41" s="3">
        <f>ROUNDUP(B34*B40,0)</f>
        <v>23</v>
      </c>
      <c r="C41" s="77"/>
    </row>
    <row r="42" spans="1:3" s="1" customFormat="1">
      <c r="A42" s="112" t="s">
        <v>290</v>
      </c>
      <c r="B42" s="5">
        <v>600</v>
      </c>
      <c r="C42" s="123"/>
    </row>
    <row r="43" spans="1:3" s="1" customFormat="1">
      <c r="A43" s="112" t="s">
        <v>265</v>
      </c>
      <c r="B43" s="5">
        <v>100</v>
      </c>
      <c r="C43" s="123"/>
    </row>
    <row r="44" spans="1:3" ht="29" thickBot="1">
      <c r="A44" s="129" t="s">
        <v>266</v>
      </c>
      <c r="B44" s="131">
        <f>B42+B43+B38</f>
        <v>770</v>
      </c>
      <c r="C44" s="130" t="s">
        <v>360</v>
      </c>
    </row>
    <row r="45" spans="1:3" ht="15" thickTop="1"/>
  </sheetData>
  <mergeCells count="1">
    <mergeCell ref="A1:B1"/>
  </mergeCells>
  <phoneticPr fontId="16" type="noConversion"/>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13" workbookViewId="0">
      <selection activeCell="O27" sqref="O27"/>
    </sheetView>
  </sheetViews>
  <sheetFormatPr baseColWidth="10" defaultRowHeight="14" x14ac:dyDescent="0"/>
  <cols>
    <col min="1" max="1" width="51.5" customWidth="1"/>
    <col min="2" max="2" width="9.5" bestFit="1" customWidth="1"/>
    <col min="3" max="3" width="8.6640625" bestFit="1" customWidth="1"/>
    <col min="4" max="7" width="8.83203125" bestFit="1" customWidth="1"/>
    <col min="8" max="8" width="10" customWidth="1"/>
    <col min="9" max="9" width="10.33203125" bestFit="1" customWidth="1"/>
    <col min="10" max="10" width="9.6640625" bestFit="1" customWidth="1"/>
    <col min="11" max="11" width="10.6640625" customWidth="1"/>
    <col min="12" max="12" width="9.6640625" bestFit="1" customWidth="1"/>
    <col min="13" max="13" width="9.5" bestFit="1" customWidth="1"/>
    <col min="14" max="14" width="10.33203125" customWidth="1"/>
    <col min="15" max="15" width="9.83203125" customWidth="1"/>
  </cols>
  <sheetData>
    <row r="1" spans="1:16" ht="15" thickTop="1">
      <c r="A1" s="193" t="s">
        <v>256</v>
      </c>
      <c r="B1" s="194"/>
      <c r="C1" s="194"/>
      <c r="D1" s="194"/>
      <c r="E1" s="194"/>
      <c r="F1" s="194"/>
      <c r="G1" s="194"/>
      <c r="H1" s="194"/>
      <c r="I1" s="194"/>
      <c r="J1" s="194"/>
      <c r="K1" s="194"/>
      <c r="L1" s="194"/>
      <c r="M1" s="194"/>
      <c r="N1" s="194"/>
      <c r="O1" s="195"/>
    </row>
    <row r="2" spans="1:16">
      <c r="A2" s="93" t="s">
        <v>257</v>
      </c>
      <c r="B2" s="119" t="s">
        <v>249</v>
      </c>
      <c r="C2" s="85">
        <v>41275</v>
      </c>
      <c r="D2" s="85">
        <v>41306</v>
      </c>
      <c r="E2" s="85">
        <v>41334</v>
      </c>
      <c r="F2" s="85">
        <v>41365</v>
      </c>
      <c r="G2" s="85">
        <v>41395</v>
      </c>
      <c r="H2" s="85">
        <v>41426</v>
      </c>
      <c r="I2" s="85">
        <v>41456</v>
      </c>
      <c r="J2" s="85">
        <v>41487</v>
      </c>
      <c r="K2" s="85">
        <v>41518</v>
      </c>
      <c r="L2" s="85">
        <v>41548</v>
      </c>
      <c r="M2" s="85">
        <v>41579</v>
      </c>
      <c r="N2" s="85">
        <v>41609</v>
      </c>
      <c r="O2" s="91" t="s">
        <v>244</v>
      </c>
    </row>
    <row r="3" spans="1:16">
      <c r="A3" s="93" t="s">
        <v>361</v>
      </c>
      <c r="B3" s="119"/>
      <c r="C3" s="85"/>
      <c r="D3" s="85"/>
      <c r="E3" s="85"/>
      <c r="F3" s="85"/>
      <c r="G3" s="85"/>
      <c r="H3" s="85"/>
      <c r="I3" s="85"/>
      <c r="J3" s="85"/>
      <c r="K3" s="85"/>
      <c r="L3" s="85"/>
      <c r="M3" s="85"/>
      <c r="N3" s="85"/>
      <c r="O3" s="91"/>
    </row>
    <row r="4" spans="1:16">
      <c r="A4" s="75" t="s">
        <v>248</v>
      </c>
      <c r="B4" s="140">
        <f>'Données du cas'!B22</f>
        <v>7</v>
      </c>
      <c r="C4" s="3"/>
      <c r="D4" s="3"/>
      <c r="E4" s="3"/>
      <c r="F4" s="3"/>
      <c r="G4" s="3"/>
      <c r="H4" s="3"/>
      <c r="I4" s="3"/>
      <c r="J4" s="3"/>
      <c r="K4" s="3"/>
      <c r="L4" s="3"/>
      <c r="M4" s="3"/>
      <c r="N4" s="3"/>
      <c r="O4" s="77"/>
    </row>
    <row r="5" spans="1:16">
      <c r="A5" s="75" t="s">
        <v>247</v>
      </c>
      <c r="B5" s="4"/>
      <c r="C5" s="76">
        <v>0</v>
      </c>
      <c r="D5" s="76">
        <v>0</v>
      </c>
      <c r="E5" s="76">
        <v>1</v>
      </c>
      <c r="F5" s="76">
        <v>2</v>
      </c>
      <c r="G5" s="76">
        <v>2</v>
      </c>
      <c r="H5" s="76">
        <v>3</v>
      </c>
      <c r="I5" s="76">
        <v>3</v>
      </c>
      <c r="J5" s="76">
        <v>4</v>
      </c>
      <c r="K5" s="76">
        <v>4</v>
      </c>
      <c r="L5" s="76">
        <v>4</v>
      </c>
      <c r="M5" s="76">
        <v>5</v>
      </c>
      <c r="N5" s="76">
        <v>5</v>
      </c>
      <c r="O5" s="79">
        <f>SUM(C5:N5)</f>
        <v>33</v>
      </c>
    </row>
    <row r="6" spans="1:16">
      <c r="A6" s="75" t="s">
        <v>269</v>
      </c>
      <c r="B6" s="4"/>
      <c r="C6" s="78">
        <f t="shared" ref="C6:N6" si="0">$B$4*C5</f>
        <v>0</v>
      </c>
      <c r="D6" s="78">
        <f t="shared" si="0"/>
        <v>0</v>
      </c>
      <c r="E6" s="78">
        <f t="shared" si="0"/>
        <v>7</v>
      </c>
      <c r="F6" s="78">
        <f t="shared" si="0"/>
        <v>14</v>
      </c>
      <c r="G6" s="78">
        <f t="shared" si="0"/>
        <v>14</v>
      </c>
      <c r="H6" s="78">
        <f t="shared" si="0"/>
        <v>21</v>
      </c>
      <c r="I6" s="78">
        <f t="shared" si="0"/>
        <v>21</v>
      </c>
      <c r="J6" s="78">
        <f t="shared" si="0"/>
        <v>28</v>
      </c>
      <c r="K6" s="78">
        <f t="shared" si="0"/>
        <v>28</v>
      </c>
      <c r="L6" s="78">
        <f t="shared" si="0"/>
        <v>28</v>
      </c>
      <c r="M6" s="78">
        <f t="shared" si="0"/>
        <v>35</v>
      </c>
      <c r="N6" s="78">
        <f t="shared" si="0"/>
        <v>35</v>
      </c>
      <c r="O6" s="79">
        <f>SUM(C6:N6)</f>
        <v>231</v>
      </c>
    </row>
    <row r="7" spans="1:16">
      <c r="A7" s="112" t="s">
        <v>267</v>
      </c>
      <c r="B7" s="139">
        <v>0.8</v>
      </c>
      <c r="C7" s="78">
        <f>ROUNDUP($B$7*C6,0)</f>
        <v>0</v>
      </c>
      <c r="D7" s="78">
        <f t="shared" ref="D7" si="1">ROUNDUP($B$7*D6,0)</f>
        <v>0</v>
      </c>
      <c r="E7" s="78">
        <f>$B$7*E6</f>
        <v>5.6000000000000005</v>
      </c>
      <c r="F7" s="78">
        <f t="shared" ref="F7:O7" si="2">$B$7*F6</f>
        <v>11.200000000000001</v>
      </c>
      <c r="G7" s="78">
        <f t="shared" si="2"/>
        <v>11.200000000000001</v>
      </c>
      <c r="H7" s="78">
        <f t="shared" si="2"/>
        <v>16.8</v>
      </c>
      <c r="I7" s="78">
        <f t="shared" si="2"/>
        <v>16.8</v>
      </c>
      <c r="J7" s="78">
        <f t="shared" si="2"/>
        <v>22.400000000000002</v>
      </c>
      <c r="K7" s="78">
        <f t="shared" si="2"/>
        <v>22.400000000000002</v>
      </c>
      <c r="L7" s="78">
        <f t="shared" si="2"/>
        <v>22.400000000000002</v>
      </c>
      <c r="M7" s="78">
        <f t="shared" si="2"/>
        <v>28</v>
      </c>
      <c r="N7" s="78">
        <f t="shared" si="2"/>
        <v>28</v>
      </c>
      <c r="O7" s="79">
        <f t="shared" si="2"/>
        <v>184.8</v>
      </c>
    </row>
    <row r="8" spans="1:16">
      <c r="A8" s="112" t="s">
        <v>268</v>
      </c>
      <c r="B8" s="141">
        <f>1-B7</f>
        <v>0.19999999999999996</v>
      </c>
      <c r="C8" s="78">
        <f>C6-C7</f>
        <v>0</v>
      </c>
      <c r="D8" s="78">
        <f t="shared" ref="D8:O8" si="3">D6-D7</f>
        <v>0</v>
      </c>
      <c r="E8" s="78">
        <f t="shared" si="3"/>
        <v>1.3999999999999995</v>
      </c>
      <c r="F8" s="78">
        <f t="shared" si="3"/>
        <v>2.7999999999999989</v>
      </c>
      <c r="G8" s="78">
        <f t="shared" si="3"/>
        <v>2.7999999999999989</v>
      </c>
      <c r="H8" s="78">
        <f t="shared" si="3"/>
        <v>4.1999999999999993</v>
      </c>
      <c r="I8" s="78">
        <f t="shared" si="3"/>
        <v>4.1999999999999993</v>
      </c>
      <c r="J8" s="78">
        <f t="shared" si="3"/>
        <v>5.5999999999999979</v>
      </c>
      <c r="K8" s="78">
        <f t="shared" si="3"/>
        <v>5.5999999999999979</v>
      </c>
      <c r="L8" s="78">
        <f t="shared" si="3"/>
        <v>5.5999999999999979</v>
      </c>
      <c r="M8" s="78">
        <f t="shared" si="3"/>
        <v>7</v>
      </c>
      <c r="N8" s="78">
        <f t="shared" si="3"/>
        <v>7</v>
      </c>
      <c r="O8" s="79">
        <f t="shared" si="3"/>
        <v>46.199999999999989</v>
      </c>
    </row>
    <row r="9" spans="1:16">
      <c r="A9" s="142" t="s">
        <v>362</v>
      </c>
      <c r="B9" s="141"/>
      <c r="C9" s="78"/>
      <c r="D9" s="78"/>
      <c r="E9" s="78"/>
      <c r="F9" s="78"/>
      <c r="G9" s="78"/>
      <c r="H9" s="78"/>
      <c r="I9" s="78"/>
      <c r="J9" s="78"/>
      <c r="K9" s="78"/>
      <c r="L9" s="78"/>
      <c r="M9" s="78"/>
      <c r="N9" s="78"/>
      <c r="O9" s="79"/>
    </row>
    <row r="10" spans="1:16">
      <c r="A10" s="75" t="s">
        <v>315</v>
      </c>
      <c r="B10" s="6"/>
      <c r="C10" s="82">
        <f>C6*'Données du cas'!$B$23</f>
        <v>0</v>
      </c>
      <c r="D10" s="82">
        <f>D6*'Données du cas'!$B$23</f>
        <v>0</v>
      </c>
      <c r="E10" s="82">
        <f>E6*'Données du cas'!$B$23</f>
        <v>8400</v>
      </c>
      <c r="F10" s="82">
        <f>F6*'Données du cas'!$B$23</f>
        <v>16800</v>
      </c>
      <c r="G10" s="82">
        <f>G6*'Données du cas'!$B$23</f>
        <v>16800</v>
      </c>
      <c r="H10" s="82">
        <f>H6*'Données du cas'!$B$23</f>
        <v>25200</v>
      </c>
      <c r="I10" s="82">
        <f>I6*'Données du cas'!$B$23</f>
        <v>25200</v>
      </c>
      <c r="J10" s="82">
        <f>J6*'Données du cas'!$B$23</f>
        <v>33600</v>
      </c>
      <c r="K10" s="82">
        <f>K6*'Données du cas'!$B$23</f>
        <v>33600</v>
      </c>
      <c r="L10" s="82">
        <f>L6*'Données du cas'!$B$23</f>
        <v>33600</v>
      </c>
      <c r="M10" s="82">
        <f>M6*'Données du cas'!$B$23</f>
        <v>42000</v>
      </c>
      <c r="N10" s="82">
        <f>N6*'Données du cas'!$B$23</f>
        <v>42000</v>
      </c>
      <c r="O10" s="145">
        <f>SUM(C10:N10)</f>
        <v>277200</v>
      </c>
    </row>
    <row r="11" spans="1:16" ht="28">
      <c r="A11" s="75" t="s">
        <v>318</v>
      </c>
      <c r="B11" s="6"/>
      <c r="C11" s="78"/>
      <c r="D11" s="78"/>
      <c r="E11" s="82">
        <f>E7*'Données du cas'!$B$38+E8*'Données du cas'!$B$44</f>
        <v>1469.9999999999995</v>
      </c>
      <c r="F11" s="82">
        <f>F7*'Données du cas'!$B$38+F8*'Données du cas'!$B$44</f>
        <v>2939.9999999999991</v>
      </c>
      <c r="G11" s="82">
        <f>G7*'Données du cas'!$B$38+G8*'Données du cas'!$B$44</f>
        <v>2939.9999999999991</v>
      </c>
      <c r="H11" s="82">
        <f>H7*'Données du cas'!$B$38+H8*'Données du cas'!$B$44</f>
        <v>4410</v>
      </c>
      <c r="I11" s="82">
        <f>I7*'Données du cas'!$B$38+I8*'Données du cas'!$B$44</f>
        <v>4410</v>
      </c>
      <c r="J11" s="82">
        <f>J7*'Données du cas'!$B$38+J8*'Données du cas'!$B$44</f>
        <v>5879.9999999999982</v>
      </c>
      <c r="K11" s="82">
        <f>K7*'Données du cas'!$B$38+K8*'Données du cas'!$B$44</f>
        <v>5879.9999999999982</v>
      </c>
      <c r="L11" s="82">
        <f>L7*'Données du cas'!$B$38+L8*'Données du cas'!$B$44</f>
        <v>5879.9999999999982</v>
      </c>
      <c r="M11" s="82">
        <f>M7*'Données du cas'!$B$38+M8*'Données du cas'!$B$44</f>
        <v>7350</v>
      </c>
      <c r="N11" s="82">
        <f>N7*'Données du cas'!$B$38+N8*'Données du cas'!$B$44</f>
        <v>7350</v>
      </c>
      <c r="O11" s="145">
        <f>SUM(C11:N11)</f>
        <v>48509.999999999993</v>
      </c>
      <c r="P11" s="144"/>
    </row>
    <row r="12" spans="1:16">
      <c r="A12" s="80" t="s">
        <v>316</v>
      </c>
      <c r="B12" s="4"/>
      <c r="C12" s="81">
        <f>C6*'Données du cas'!$B$23+C11</f>
        <v>0</v>
      </c>
      <c r="D12" s="81">
        <f>D6*'Données du cas'!$B$23+D11</f>
        <v>0</v>
      </c>
      <c r="E12" s="81">
        <f>E6*'Données du cas'!$B$23+E11</f>
        <v>9870</v>
      </c>
      <c r="F12" s="81">
        <f>F6*'Données du cas'!$B$23+F11</f>
        <v>19740</v>
      </c>
      <c r="G12" s="81">
        <f>G6*'Données du cas'!$B$23+G11</f>
        <v>19740</v>
      </c>
      <c r="H12" s="81">
        <f>H6*'Données du cas'!$B$23+H11</f>
        <v>29610</v>
      </c>
      <c r="I12" s="81">
        <f>I6*'Données du cas'!$B$23+I11</f>
        <v>29610</v>
      </c>
      <c r="J12" s="81">
        <f>J6*'Données du cas'!$B$23+J11</f>
        <v>39480</v>
      </c>
      <c r="K12" s="81">
        <f>K6*'Données du cas'!$B$23+K11</f>
        <v>39480</v>
      </c>
      <c r="L12" s="81">
        <f>L6*'Données du cas'!$B$23+L11</f>
        <v>39480</v>
      </c>
      <c r="M12" s="81">
        <f>M6*'Données du cas'!$B$23+M11</f>
        <v>49350</v>
      </c>
      <c r="N12" s="81">
        <f>N6*'Données du cas'!$B$23+N11</f>
        <v>49350</v>
      </c>
      <c r="O12" s="92">
        <f>SUM(C12:N12)</f>
        <v>325710</v>
      </c>
      <c r="P12" s="29"/>
    </row>
    <row r="13" spans="1:16" ht="15" thickBot="1">
      <c r="A13" s="88" t="s">
        <v>317</v>
      </c>
      <c r="B13" s="89"/>
      <c r="C13" s="90">
        <f>C12*(1+'Données du cas'!$B$29)</f>
        <v>0</v>
      </c>
      <c r="D13" s="90">
        <f>D12*(1+'Données du cas'!$B$29)</f>
        <v>0</v>
      </c>
      <c r="E13" s="90">
        <f>E12*(1+'Données du cas'!$B$29)</f>
        <v>11844</v>
      </c>
      <c r="F13" s="90">
        <f>F12*(1+'Données du cas'!$B$29)</f>
        <v>23688</v>
      </c>
      <c r="G13" s="90">
        <f>G12*(1+'Données du cas'!$B$29)</f>
        <v>23688</v>
      </c>
      <c r="H13" s="90">
        <f>H12*(1+'Données du cas'!$B$29)</f>
        <v>35532</v>
      </c>
      <c r="I13" s="90">
        <f>I12*(1+'Données du cas'!$B$29)</f>
        <v>35532</v>
      </c>
      <c r="J13" s="90">
        <f>J12*(1+'Données du cas'!$B$29)</f>
        <v>47376</v>
      </c>
      <c r="K13" s="90">
        <f>K12*(1+'Données du cas'!$B$29)</f>
        <v>47376</v>
      </c>
      <c r="L13" s="90">
        <f>L12*(1+'Données du cas'!$B$29)</f>
        <v>47376</v>
      </c>
      <c r="M13" s="90">
        <f>M12*(1+'Données du cas'!$B$29)</f>
        <v>59220</v>
      </c>
      <c r="N13" s="90">
        <f>N12*(1+'Données du cas'!$B$29)</f>
        <v>59220</v>
      </c>
      <c r="O13" s="146">
        <f>SUM(C13:N13)</f>
        <v>390852</v>
      </c>
    </row>
    <row r="14" spans="1:16" ht="15" thickTop="1">
      <c r="A14" s="120"/>
      <c r="B14" s="121"/>
      <c r="C14" s="143"/>
      <c r="D14" s="143"/>
      <c r="E14" s="143"/>
      <c r="F14" s="143"/>
      <c r="G14" s="143"/>
      <c r="H14" s="143"/>
      <c r="I14" s="143"/>
      <c r="J14" s="143"/>
      <c r="K14" s="143"/>
      <c r="L14" s="143"/>
      <c r="M14" s="143"/>
      <c r="N14" s="143"/>
      <c r="O14" s="143"/>
    </row>
    <row r="15" spans="1:16">
      <c r="A15" t="s">
        <v>306</v>
      </c>
      <c r="C15" s="29">
        <f>C6*'Données du cas'!$B$20</f>
        <v>0</v>
      </c>
      <c r="D15" s="29">
        <f>D6*'Données du cas'!$B$20</f>
        <v>0</v>
      </c>
      <c r="E15" s="29">
        <f>E6*'Données du cas'!$B$20</f>
        <v>3500</v>
      </c>
      <c r="F15" s="29">
        <f>F6*'Données du cas'!$B$20</f>
        <v>7000</v>
      </c>
      <c r="G15" s="29">
        <f>G6*'Données du cas'!$B$20</f>
        <v>7000</v>
      </c>
      <c r="H15" s="29">
        <f>H6*'Données du cas'!$B$20</f>
        <v>10500</v>
      </c>
      <c r="I15" s="29">
        <f>I6*'Données du cas'!$B$20</f>
        <v>10500</v>
      </c>
      <c r="J15" s="29">
        <f>J6*'Données du cas'!$B$20</f>
        <v>14000</v>
      </c>
      <c r="K15" s="29">
        <f>K6*'Données du cas'!$B$20</f>
        <v>14000</v>
      </c>
      <c r="L15" s="29">
        <f>L6*'Données du cas'!$B$20</f>
        <v>14000</v>
      </c>
      <c r="M15" s="29">
        <f>M6*'Données du cas'!$B$20</f>
        <v>17500</v>
      </c>
      <c r="N15" s="29">
        <f>N6*'Données du cas'!$B$20</f>
        <v>17500</v>
      </c>
      <c r="O15" s="29">
        <f>SUM(E15:N15)</f>
        <v>115500</v>
      </c>
    </row>
    <row r="16" spans="1:16">
      <c r="A16" t="s">
        <v>309</v>
      </c>
      <c r="E16" s="29">
        <f>E7*'Données du cas'!$B$38+E8*'Données du cas'!$B$44</f>
        <v>1469.9999999999995</v>
      </c>
      <c r="F16" s="29">
        <f>F7*'Données du cas'!$B$38+F8*'Données du cas'!$B$44</f>
        <v>2939.9999999999991</v>
      </c>
      <c r="G16" s="29">
        <f>G7*'Données du cas'!$B$38+G8*'Données du cas'!$B$44</f>
        <v>2939.9999999999991</v>
      </c>
      <c r="H16" s="29">
        <f>H7*'Données du cas'!$B$38+H8*'Données du cas'!$B$44</f>
        <v>4410</v>
      </c>
      <c r="I16" s="29">
        <f>I7*'Données du cas'!$B$38+I8*'Données du cas'!$B$44</f>
        <v>4410</v>
      </c>
      <c r="J16" s="29">
        <f>J7*'Données du cas'!$B$38+J8*'Données du cas'!$B$44</f>
        <v>5879.9999999999982</v>
      </c>
      <c r="K16" s="29">
        <f>K7*'Données du cas'!$B$38+K8*'Données du cas'!$B$44</f>
        <v>5879.9999999999982</v>
      </c>
      <c r="L16" s="29">
        <f>L7*'Données du cas'!$B$38+L8*'Données du cas'!$B$44</f>
        <v>5879.9999999999982</v>
      </c>
      <c r="M16" s="29">
        <f>M7*'Données du cas'!$B$38+M8*'Données du cas'!$B$44</f>
        <v>7350</v>
      </c>
      <c r="N16" s="29">
        <f>N7*'Données du cas'!$B$38+N8*'Données du cas'!$B$44</f>
        <v>7350</v>
      </c>
      <c r="O16" s="29">
        <f>SUM(C16:N16)</f>
        <v>48509.999999999993</v>
      </c>
    </row>
    <row r="17" spans="1:15">
      <c r="A17" t="s">
        <v>308</v>
      </c>
      <c r="E17" s="29">
        <f>E15+E16</f>
        <v>4970</v>
      </c>
      <c r="F17" s="29">
        <f t="shared" ref="F17:N17" si="4">F15+F16</f>
        <v>9940</v>
      </c>
      <c r="G17" s="29">
        <f t="shared" si="4"/>
        <v>9940</v>
      </c>
      <c r="H17" s="29">
        <f t="shared" si="4"/>
        <v>14910</v>
      </c>
      <c r="I17" s="29">
        <f t="shared" si="4"/>
        <v>14910</v>
      </c>
      <c r="J17" s="29">
        <f t="shared" si="4"/>
        <v>19880</v>
      </c>
      <c r="K17" s="29">
        <f t="shared" si="4"/>
        <v>19880</v>
      </c>
      <c r="L17" s="29">
        <f t="shared" si="4"/>
        <v>19880</v>
      </c>
      <c r="M17" s="29">
        <f t="shared" si="4"/>
        <v>24850</v>
      </c>
      <c r="N17" s="29">
        <f t="shared" si="4"/>
        <v>24850</v>
      </c>
      <c r="O17" s="29">
        <f>O15+O16</f>
        <v>164010</v>
      </c>
    </row>
    <row r="19" spans="1:15" ht="15" thickBot="1"/>
    <row r="20" spans="1:15" ht="15" thickTop="1">
      <c r="A20" s="181" t="s">
        <v>341</v>
      </c>
      <c r="B20" s="186" t="s">
        <v>249</v>
      </c>
      <c r="C20" s="182">
        <f>C10</f>
        <v>0</v>
      </c>
      <c r="D20" s="182">
        <f>C20+D10</f>
        <v>0</v>
      </c>
      <c r="E20" s="182">
        <f t="shared" ref="E20:N20" si="5">D20+E10</f>
        <v>8400</v>
      </c>
      <c r="F20" s="182">
        <f t="shared" si="5"/>
        <v>25200</v>
      </c>
      <c r="G20" s="182">
        <f t="shared" si="5"/>
        <v>42000</v>
      </c>
      <c r="H20" s="182">
        <f t="shared" si="5"/>
        <v>67200</v>
      </c>
      <c r="I20" s="182">
        <f t="shared" si="5"/>
        <v>92400</v>
      </c>
      <c r="J20" s="182">
        <f t="shared" si="5"/>
        <v>126000</v>
      </c>
      <c r="K20" s="182">
        <f t="shared" si="5"/>
        <v>159600</v>
      </c>
      <c r="L20" s="182">
        <f t="shared" si="5"/>
        <v>193200</v>
      </c>
      <c r="M20" s="182">
        <f t="shared" si="5"/>
        <v>235200</v>
      </c>
      <c r="N20" s="183">
        <f t="shared" si="5"/>
        <v>277200</v>
      </c>
    </row>
    <row r="21" spans="1:15">
      <c r="A21" s="84" t="s">
        <v>335</v>
      </c>
      <c r="B21" s="43">
        <f>'Compte de résultat'!C79</f>
        <v>164703</v>
      </c>
      <c r="C21" s="43"/>
      <c r="D21" s="43"/>
      <c r="E21" s="43"/>
      <c r="F21" s="43"/>
      <c r="G21" s="43"/>
      <c r="H21" s="43"/>
      <c r="I21" s="43"/>
      <c r="J21" s="43"/>
      <c r="K21" s="43"/>
      <c r="L21" s="43"/>
      <c r="M21" s="43"/>
      <c r="N21" s="158"/>
    </row>
    <row r="22" spans="1:15">
      <c r="A22" s="84" t="s">
        <v>339</v>
      </c>
      <c r="B22" s="98">
        <f>'Compte de résultat'!D79</f>
        <v>0.59416666666666673</v>
      </c>
      <c r="C22" s="43">
        <f>C20*$B$22</f>
        <v>0</v>
      </c>
      <c r="D22" s="43">
        <f t="shared" ref="D22:N22" si="6">D20*$B$22</f>
        <v>0</v>
      </c>
      <c r="E22" s="43">
        <f t="shared" si="6"/>
        <v>4991.0000000000009</v>
      </c>
      <c r="F22" s="43">
        <f t="shared" si="6"/>
        <v>14973.000000000002</v>
      </c>
      <c r="G22" s="43">
        <f t="shared" si="6"/>
        <v>24955.000000000004</v>
      </c>
      <c r="H22" s="43">
        <f t="shared" si="6"/>
        <v>39928.000000000007</v>
      </c>
      <c r="I22" s="43">
        <f t="shared" si="6"/>
        <v>54901.000000000007</v>
      </c>
      <c r="J22" s="43">
        <f t="shared" si="6"/>
        <v>74865.000000000015</v>
      </c>
      <c r="K22" s="43">
        <f t="shared" si="6"/>
        <v>94829.000000000015</v>
      </c>
      <c r="L22" s="43">
        <f t="shared" si="6"/>
        <v>114793.00000000001</v>
      </c>
      <c r="M22" s="43">
        <f t="shared" si="6"/>
        <v>139748.00000000003</v>
      </c>
      <c r="N22" s="158">
        <f t="shared" si="6"/>
        <v>164703.00000000003</v>
      </c>
    </row>
    <row r="23" spans="1:15">
      <c r="A23" s="84" t="s">
        <v>336</v>
      </c>
      <c r="B23" s="43">
        <f>'Compte de résultat'!E79</f>
        <v>65984.286810979916</v>
      </c>
      <c r="C23" s="3"/>
      <c r="D23" s="3"/>
      <c r="E23" s="3"/>
      <c r="F23" s="3"/>
      <c r="G23" s="3"/>
      <c r="H23" s="3"/>
      <c r="I23" s="3"/>
      <c r="J23" s="3"/>
      <c r="K23" s="3"/>
      <c r="L23" s="3"/>
      <c r="M23" s="3"/>
      <c r="N23" s="77"/>
    </row>
    <row r="24" spans="1:15">
      <c r="A24" s="84" t="s">
        <v>363</v>
      </c>
      <c r="B24" s="43"/>
      <c r="C24" s="43">
        <f>C22+$B$23</f>
        <v>65984.286810979916</v>
      </c>
      <c r="D24" s="43">
        <f t="shared" ref="D24:N24" si="7">D22+$B$23</f>
        <v>65984.286810979916</v>
      </c>
      <c r="E24" s="43">
        <f t="shared" si="7"/>
        <v>70975.286810979916</v>
      </c>
      <c r="F24" s="43">
        <f t="shared" si="7"/>
        <v>80957.286810979916</v>
      </c>
      <c r="G24" s="43">
        <f t="shared" si="7"/>
        <v>90939.286810979916</v>
      </c>
      <c r="H24" s="43">
        <f t="shared" si="7"/>
        <v>105912.28681097992</v>
      </c>
      <c r="I24" s="43">
        <f t="shared" si="7"/>
        <v>120885.28681097992</v>
      </c>
      <c r="J24" s="43">
        <f t="shared" si="7"/>
        <v>140849.28681097995</v>
      </c>
      <c r="K24" s="43">
        <f t="shared" si="7"/>
        <v>160813.28681097995</v>
      </c>
      <c r="L24" s="43">
        <f t="shared" si="7"/>
        <v>180777.28681097995</v>
      </c>
      <c r="M24" s="43">
        <f t="shared" si="7"/>
        <v>205732.28681097995</v>
      </c>
      <c r="N24" s="158">
        <f t="shared" si="7"/>
        <v>230687.28681097995</v>
      </c>
    </row>
    <row r="25" spans="1:15">
      <c r="A25" s="93" t="s">
        <v>338</v>
      </c>
      <c r="B25" s="43">
        <f>B23/((N20-B21)/N20)</f>
        <v>162589.61842541254</v>
      </c>
      <c r="C25" s="3"/>
      <c r="D25" s="3"/>
      <c r="E25" s="3"/>
      <c r="F25" s="3"/>
      <c r="G25" s="3"/>
      <c r="H25" s="3"/>
      <c r="I25" s="3"/>
      <c r="J25" s="3"/>
      <c r="K25" s="3"/>
      <c r="L25" s="3"/>
      <c r="M25" s="3"/>
      <c r="N25" s="77"/>
    </row>
    <row r="26" spans="1:15" ht="15" thickBot="1">
      <c r="A26" s="184" t="s">
        <v>340</v>
      </c>
      <c r="B26" s="185">
        <f>DATE(2013,10,1)+((B25-K20)/(L20-K20))*31</f>
        <v>41550.758278904395</v>
      </c>
      <c r="C26" s="180"/>
      <c r="D26" s="180"/>
      <c r="E26" s="180"/>
      <c r="F26" s="180"/>
      <c r="G26" s="180"/>
      <c r="H26" s="180"/>
      <c r="I26" s="180"/>
      <c r="J26" s="180"/>
      <c r="K26" s="180"/>
      <c r="L26" s="180"/>
      <c r="M26" s="180"/>
      <c r="N26" s="83"/>
    </row>
    <row r="27" spans="1:15" ht="15" thickTop="1"/>
  </sheetData>
  <mergeCells count="1">
    <mergeCell ref="A1:O1"/>
  </mergeCell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heetPr>
  <dimension ref="A1:F88"/>
  <sheetViews>
    <sheetView topLeftCell="A23" workbookViewId="0">
      <selection activeCell="F85" sqref="F85"/>
    </sheetView>
  </sheetViews>
  <sheetFormatPr baseColWidth="10" defaultRowHeight="14" outlineLevelRow="1" x14ac:dyDescent="0"/>
  <cols>
    <col min="1" max="1" width="60.6640625" bestFit="1" customWidth="1"/>
    <col min="2" max="2" width="11.83203125" bestFit="1" customWidth="1"/>
    <col min="3" max="3" width="9.6640625" bestFit="1" customWidth="1"/>
    <col min="4" max="4" width="7.83203125" bestFit="1" customWidth="1"/>
    <col min="5" max="5" width="8.6640625" bestFit="1" customWidth="1"/>
    <col min="6" max="6" width="106.6640625" customWidth="1"/>
  </cols>
  <sheetData>
    <row r="1" spans="1:6">
      <c r="A1" s="10"/>
      <c r="B1" s="11" t="s">
        <v>14</v>
      </c>
      <c r="C1" s="113"/>
      <c r="D1" s="113"/>
      <c r="E1" s="113"/>
    </row>
    <row r="2" spans="1:6">
      <c r="A2" s="12" t="s">
        <v>15</v>
      </c>
      <c r="B2" s="9"/>
      <c r="C2" s="114"/>
      <c r="D2" s="114"/>
      <c r="E2" s="114"/>
    </row>
    <row r="3" spans="1:6">
      <c r="A3" s="13" t="s">
        <v>16</v>
      </c>
      <c r="B3" s="27"/>
      <c r="C3" s="115"/>
      <c r="D3" s="115"/>
      <c r="E3" s="115"/>
    </row>
    <row r="4" spans="1:6" outlineLevel="1">
      <c r="A4" s="18" t="s">
        <v>17</v>
      </c>
      <c r="B4" s="27"/>
      <c r="C4" s="115"/>
      <c r="D4" s="115"/>
      <c r="E4" s="115"/>
    </row>
    <row r="5" spans="1:6" outlineLevel="1">
      <c r="A5" s="17" t="s">
        <v>18</v>
      </c>
      <c r="B5" s="27">
        <f>'CA et CV'!O12</f>
        <v>325710</v>
      </c>
      <c r="C5" s="115"/>
      <c r="D5" s="115"/>
      <c r="E5" s="115"/>
    </row>
    <row r="6" spans="1:6" outlineLevel="1">
      <c r="A6" s="17" t="s">
        <v>246</v>
      </c>
      <c r="B6" s="27"/>
      <c r="C6" s="115"/>
      <c r="D6" s="115"/>
      <c r="E6" s="115"/>
    </row>
    <row r="7" spans="1:6" outlineLevel="1">
      <c r="A7" s="17" t="s">
        <v>19</v>
      </c>
      <c r="B7" s="27"/>
      <c r="C7" s="115"/>
      <c r="D7" s="115"/>
      <c r="E7" s="115"/>
    </row>
    <row r="8" spans="1:6" outlineLevel="1">
      <c r="A8" s="17" t="s">
        <v>20</v>
      </c>
      <c r="B8" s="27"/>
      <c r="C8" s="115"/>
      <c r="D8" s="115"/>
      <c r="E8" s="115"/>
      <c r="F8" s="70"/>
    </row>
    <row r="9" spans="1:6">
      <c r="A9" s="15" t="s">
        <v>21</v>
      </c>
      <c r="B9" s="27">
        <f>SUM(B4:B8)</f>
        <v>325710</v>
      </c>
      <c r="C9" s="115"/>
      <c r="D9" s="115"/>
      <c r="E9" s="115"/>
    </row>
    <row r="10" spans="1:6">
      <c r="A10" s="14"/>
      <c r="B10" s="27"/>
      <c r="C10" s="115"/>
      <c r="D10" s="115"/>
      <c r="E10" s="115"/>
    </row>
    <row r="11" spans="1:6" collapsed="1">
      <c r="A11" s="13" t="s">
        <v>22</v>
      </c>
      <c r="B11" s="27"/>
      <c r="C11" s="115"/>
      <c r="D11" s="115"/>
      <c r="E11" s="115"/>
    </row>
    <row r="12" spans="1:6" hidden="1" outlineLevel="1">
      <c r="A12" s="14" t="s">
        <v>23</v>
      </c>
      <c r="B12" s="27"/>
      <c r="C12" s="115"/>
      <c r="D12" s="115"/>
      <c r="E12" s="115"/>
    </row>
    <row r="13" spans="1:6" hidden="1" outlineLevel="1">
      <c r="A13" s="14" t="s">
        <v>24</v>
      </c>
      <c r="B13" s="27"/>
      <c r="C13" s="115"/>
      <c r="D13" s="115"/>
      <c r="E13" s="115"/>
    </row>
    <row r="14" spans="1:6" hidden="1" outlineLevel="1">
      <c r="A14" s="14" t="s">
        <v>25</v>
      </c>
      <c r="B14" s="27"/>
      <c r="C14" s="115"/>
      <c r="D14" s="115"/>
      <c r="E14" s="115"/>
    </row>
    <row r="15" spans="1:6" hidden="1" outlineLevel="1">
      <c r="A15" s="14" t="s">
        <v>26</v>
      </c>
      <c r="B15" s="27"/>
      <c r="C15" s="115"/>
      <c r="D15" s="115"/>
      <c r="E15" s="115"/>
    </row>
    <row r="16" spans="1:6" hidden="1" outlineLevel="1">
      <c r="A16" s="14" t="s">
        <v>27</v>
      </c>
      <c r="B16" s="27"/>
      <c r="C16" s="115"/>
      <c r="D16" s="115"/>
      <c r="E16" s="115"/>
    </row>
    <row r="17" spans="1:6">
      <c r="A17" s="15" t="s">
        <v>28</v>
      </c>
      <c r="B17" s="27"/>
      <c r="C17" s="115"/>
      <c r="D17" s="115"/>
      <c r="E17" s="115"/>
    </row>
    <row r="18" spans="1:6">
      <c r="A18" s="3"/>
      <c r="B18" s="27"/>
      <c r="C18" s="115"/>
      <c r="D18" s="115"/>
      <c r="E18" s="115"/>
    </row>
    <row r="19" spans="1:6">
      <c r="A19" s="12" t="s">
        <v>29</v>
      </c>
      <c r="B19" s="27">
        <f>B9+B17</f>
        <v>325710</v>
      </c>
      <c r="C19" s="115"/>
      <c r="D19" s="115"/>
      <c r="E19" s="115"/>
    </row>
    <row r="20" spans="1:6">
      <c r="A20" s="3" t="s">
        <v>30</v>
      </c>
      <c r="B20" s="27"/>
      <c r="C20" s="115"/>
      <c r="D20" s="115"/>
      <c r="E20" s="115"/>
    </row>
    <row r="21" spans="1:6" ht="15" thickBot="1">
      <c r="A21" s="16" t="s">
        <v>31</v>
      </c>
      <c r="B21" s="28">
        <f>B19</f>
        <v>325710</v>
      </c>
      <c r="C21" s="115"/>
      <c r="D21" s="115"/>
      <c r="E21" s="115"/>
    </row>
    <row r="22" spans="1:6" ht="15" thickBot="1">
      <c r="B22" s="29"/>
      <c r="C22" s="29"/>
      <c r="D22" s="29"/>
      <c r="E22" s="29"/>
    </row>
    <row r="23" spans="1:6" ht="15" thickTop="1">
      <c r="A23" s="147" t="s">
        <v>258</v>
      </c>
      <c r="B23" s="148" t="s">
        <v>14</v>
      </c>
      <c r="C23" s="148" t="s">
        <v>281</v>
      </c>
      <c r="D23" s="148" t="s">
        <v>354</v>
      </c>
      <c r="E23" s="149" t="s">
        <v>282</v>
      </c>
    </row>
    <row r="24" spans="1:6">
      <c r="A24" s="150" t="s">
        <v>257</v>
      </c>
      <c r="B24" s="151">
        <f>B21</f>
        <v>325710</v>
      </c>
      <c r="C24" s="151"/>
      <c r="D24" s="151"/>
      <c r="E24" s="152"/>
    </row>
    <row r="25" spans="1:6">
      <c r="A25" s="153" t="s">
        <v>301</v>
      </c>
      <c r="B25" s="154">
        <f>'CA et CV'!O10</f>
        <v>277200</v>
      </c>
      <c r="C25" s="151"/>
      <c r="D25" s="151"/>
      <c r="E25" s="152"/>
    </row>
    <row r="26" spans="1:6" ht="28">
      <c r="A26" s="155" t="s">
        <v>337</v>
      </c>
      <c r="B26" s="156">
        <f>B69</f>
        <v>48509.999999999993</v>
      </c>
      <c r="C26" s="151"/>
      <c r="D26" s="151"/>
      <c r="E26" s="152"/>
      <c r="F26" s="137" t="s">
        <v>355</v>
      </c>
    </row>
    <row r="27" spans="1:6">
      <c r="A27" s="157" t="s">
        <v>32</v>
      </c>
      <c r="B27" s="43"/>
      <c r="C27" s="43"/>
      <c r="D27" s="43"/>
      <c r="E27" s="158"/>
    </row>
    <row r="28" spans="1:6">
      <c r="A28" s="157" t="s">
        <v>33</v>
      </c>
      <c r="B28" s="43"/>
      <c r="C28" s="43"/>
      <c r="D28" s="43"/>
      <c r="E28" s="158"/>
    </row>
    <row r="29" spans="1:6">
      <c r="A29" s="159" t="s">
        <v>34</v>
      </c>
      <c r="B29" s="43"/>
      <c r="C29" s="43"/>
      <c r="D29" s="43"/>
      <c r="E29" s="158"/>
    </row>
    <row r="30" spans="1:6">
      <c r="A30" s="159" t="s">
        <v>35</v>
      </c>
      <c r="B30" s="43"/>
      <c r="C30" s="43"/>
      <c r="D30" s="43"/>
      <c r="E30" s="158"/>
    </row>
    <row r="31" spans="1:6">
      <c r="A31" s="159" t="s">
        <v>36</v>
      </c>
      <c r="B31" s="43"/>
      <c r="C31" s="43"/>
      <c r="D31" s="43"/>
      <c r="E31" s="158"/>
    </row>
    <row r="32" spans="1:6">
      <c r="A32" s="159" t="s">
        <v>35</v>
      </c>
      <c r="B32" s="43"/>
      <c r="C32" s="43"/>
      <c r="D32" s="43"/>
      <c r="E32" s="158"/>
    </row>
    <row r="33" spans="1:6">
      <c r="A33" s="159" t="s">
        <v>251</v>
      </c>
      <c r="B33" s="43">
        <f>'CA et CV'!O6*'Données du cas'!B20</f>
        <v>115500</v>
      </c>
      <c r="C33" s="43">
        <f>B33</f>
        <v>115500</v>
      </c>
      <c r="D33" s="98">
        <f>C33/B25</f>
        <v>0.41666666666666669</v>
      </c>
      <c r="E33" s="158"/>
    </row>
    <row r="34" spans="1:6" collapsed="1">
      <c r="A34" s="160" t="s">
        <v>313</v>
      </c>
      <c r="B34" s="43">
        <f>'Données du cas'!B19*B25</f>
        <v>27720</v>
      </c>
      <c r="C34" s="43">
        <f>B34</f>
        <v>27720</v>
      </c>
      <c r="D34" s="98">
        <f>C34/B25</f>
        <v>0.1</v>
      </c>
      <c r="E34" s="158"/>
      <c r="F34" t="s">
        <v>314</v>
      </c>
    </row>
    <row r="35" spans="1:6" hidden="1" outlineLevel="1">
      <c r="A35" s="161" t="s">
        <v>37</v>
      </c>
      <c r="B35" s="43"/>
      <c r="C35" s="43"/>
      <c r="D35" s="98"/>
      <c r="E35" s="158"/>
    </row>
    <row r="36" spans="1:6" hidden="1" outlineLevel="1">
      <c r="A36" s="161" t="s">
        <v>38</v>
      </c>
      <c r="B36" s="43"/>
      <c r="C36" s="43"/>
      <c r="D36" s="98"/>
      <c r="E36" s="158"/>
    </row>
    <row r="37" spans="1:6" hidden="1" outlineLevel="1">
      <c r="A37" s="161" t="s">
        <v>39</v>
      </c>
      <c r="B37" s="43"/>
      <c r="C37" s="43"/>
      <c r="D37" s="98"/>
      <c r="E37" s="158"/>
    </row>
    <row r="38" spans="1:6" hidden="1" outlineLevel="1">
      <c r="A38" s="161" t="s">
        <v>40</v>
      </c>
      <c r="B38" s="43"/>
      <c r="C38" s="43"/>
      <c r="D38" s="98"/>
      <c r="E38" s="158"/>
    </row>
    <row r="39" spans="1:6" hidden="1" outlineLevel="1">
      <c r="A39" s="161" t="s">
        <v>41</v>
      </c>
      <c r="B39" s="43"/>
      <c r="C39" s="43"/>
      <c r="D39" s="98"/>
      <c r="E39" s="158"/>
    </row>
    <row r="40" spans="1:6" hidden="1" outlineLevel="1">
      <c r="A40" s="161" t="s">
        <v>42</v>
      </c>
      <c r="B40" s="43"/>
      <c r="C40" s="43"/>
      <c r="D40" s="98"/>
      <c r="E40" s="158"/>
    </row>
    <row r="41" spans="1:6" hidden="1" outlineLevel="1">
      <c r="A41" s="161" t="s">
        <v>43</v>
      </c>
      <c r="B41" s="43"/>
      <c r="C41" s="43"/>
      <c r="D41" s="98"/>
      <c r="E41" s="158"/>
    </row>
    <row r="42" spans="1:6" hidden="1" outlineLevel="1">
      <c r="A42" s="161" t="s">
        <v>44</v>
      </c>
      <c r="B42" s="43"/>
      <c r="C42" s="43"/>
      <c r="D42" s="98"/>
      <c r="E42" s="158"/>
    </row>
    <row r="43" spans="1:6" hidden="1" outlineLevel="1">
      <c r="A43" s="161" t="s">
        <v>45</v>
      </c>
      <c r="B43" s="43"/>
      <c r="C43" s="43"/>
      <c r="D43" s="98"/>
      <c r="E43" s="158"/>
    </row>
    <row r="44" spans="1:6" hidden="1" outlineLevel="1">
      <c r="A44" s="161" t="s">
        <v>46</v>
      </c>
      <c r="B44" s="43"/>
      <c r="C44" s="43"/>
      <c r="D44" s="98"/>
      <c r="E44" s="158"/>
    </row>
    <row r="45" spans="1:6" hidden="1" outlineLevel="1">
      <c r="A45" s="161" t="s">
        <v>47</v>
      </c>
      <c r="B45" s="43"/>
      <c r="C45" s="43"/>
      <c r="D45" s="98"/>
      <c r="E45" s="158"/>
    </row>
    <row r="46" spans="1:6" hidden="1" outlineLevel="1">
      <c r="A46" s="161" t="s">
        <v>48</v>
      </c>
      <c r="B46" s="43"/>
      <c r="C46" s="43"/>
      <c r="D46" s="98"/>
      <c r="E46" s="158"/>
    </row>
    <row r="47" spans="1:6" hidden="1" outlineLevel="1">
      <c r="A47" s="161" t="s">
        <v>49</v>
      </c>
      <c r="B47" s="43"/>
      <c r="C47" s="43"/>
      <c r="D47" s="98"/>
      <c r="E47" s="158"/>
    </row>
    <row r="48" spans="1:6" collapsed="1">
      <c r="A48" s="159" t="s">
        <v>50</v>
      </c>
      <c r="B48" s="162">
        <f>'Données du cas'!B28*(B54+B55)</f>
        <v>1893</v>
      </c>
      <c r="C48" s="162">
        <f>5%*B55</f>
        <v>693</v>
      </c>
      <c r="D48" s="163">
        <f>C48/B25</f>
        <v>2.5000000000000001E-3</v>
      </c>
      <c r="E48" s="164">
        <f>5%*B54</f>
        <v>1200</v>
      </c>
      <c r="F48" t="s">
        <v>299</v>
      </c>
    </row>
    <row r="49" spans="1:6" hidden="1" outlineLevel="1">
      <c r="A49" s="124" t="s">
        <v>51</v>
      </c>
      <c r="B49" s="43"/>
      <c r="C49" s="43"/>
      <c r="D49" s="98"/>
      <c r="E49" s="158"/>
    </row>
    <row r="50" spans="1:6" hidden="1" outlineLevel="1">
      <c r="A50" s="124" t="s">
        <v>52</v>
      </c>
      <c r="B50" s="43"/>
      <c r="C50" s="43"/>
      <c r="D50" s="98"/>
      <c r="E50" s="158"/>
    </row>
    <row r="51" spans="1:6" hidden="1" outlineLevel="1">
      <c r="A51" s="124" t="s">
        <v>53</v>
      </c>
      <c r="B51" s="43"/>
      <c r="C51" s="43"/>
      <c r="D51" s="98"/>
      <c r="E51" s="158"/>
    </row>
    <row r="52" spans="1:6" hidden="1" outlineLevel="1">
      <c r="A52" s="124" t="s">
        <v>242</v>
      </c>
      <c r="B52" s="43"/>
      <c r="C52" s="43"/>
      <c r="D52" s="98"/>
      <c r="E52" s="158"/>
    </row>
    <row r="53" spans="1:6" hidden="1" outlineLevel="1">
      <c r="A53" s="161" t="s">
        <v>54</v>
      </c>
      <c r="B53" s="43"/>
      <c r="C53" s="43"/>
      <c r="D53" s="98"/>
      <c r="E53" s="158"/>
    </row>
    <row r="54" spans="1:6">
      <c r="A54" s="84" t="s">
        <v>278</v>
      </c>
      <c r="B54" s="43">
        <f>'Données du cas'!B14*12</f>
        <v>24000</v>
      </c>
      <c r="C54" s="43"/>
      <c r="D54" s="98"/>
      <c r="E54" s="158">
        <f>B54</f>
        <v>24000</v>
      </c>
      <c r="F54" t="s">
        <v>272</v>
      </c>
    </row>
    <row r="55" spans="1:6">
      <c r="A55" s="84" t="s">
        <v>279</v>
      </c>
      <c r="B55" s="43">
        <f>'Données du cas'!B17*B25</f>
        <v>13860</v>
      </c>
      <c r="C55" s="43">
        <f>B55</f>
        <v>13860</v>
      </c>
      <c r="D55" s="98">
        <f>C55/B25</f>
        <v>0.05</v>
      </c>
      <c r="E55" s="158"/>
    </row>
    <row r="56" spans="1:6" collapsed="1">
      <c r="A56" s="84" t="s">
        <v>280</v>
      </c>
      <c r="B56" s="43">
        <f>B54*'Données du cas'!B15</f>
        <v>12000</v>
      </c>
      <c r="C56" s="43"/>
      <c r="D56" s="98"/>
      <c r="E56" s="158">
        <f>B56</f>
        <v>12000</v>
      </c>
      <c r="F56" t="s">
        <v>200</v>
      </c>
    </row>
    <row r="57" spans="1:6" hidden="1" outlineLevel="1">
      <c r="A57" s="124" t="s">
        <v>55</v>
      </c>
      <c r="B57" s="43"/>
      <c r="C57" s="43"/>
      <c r="D57" s="98"/>
      <c r="E57" s="158"/>
    </row>
    <row r="58" spans="1:6" hidden="1" outlineLevel="1">
      <c r="A58" s="124" t="s">
        <v>56</v>
      </c>
      <c r="B58" s="43"/>
      <c r="C58" s="43"/>
      <c r="D58" s="98"/>
      <c r="E58" s="158"/>
    </row>
    <row r="59" spans="1:6" hidden="1" outlineLevel="1">
      <c r="A59" s="124" t="s">
        <v>57</v>
      </c>
      <c r="B59" s="43"/>
      <c r="C59" s="43"/>
      <c r="D59" s="98"/>
      <c r="E59" s="158"/>
    </row>
    <row r="60" spans="1:6" hidden="1" outlineLevel="1">
      <c r="A60" s="124" t="s">
        <v>58</v>
      </c>
      <c r="B60" s="43"/>
      <c r="C60" s="43"/>
      <c r="D60" s="98"/>
      <c r="E60" s="158"/>
    </row>
    <row r="61" spans="1:6" hidden="1" outlineLevel="1">
      <c r="A61" s="124" t="s">
        <v>59</v>
      </c>
      <c r="B61" s="43"/>
      <c r="C61" s="43"/>
      <c r="D61" s="98"/>
      <c r="E61" s="158"/>
    </row>
    <row r="62" spans="1:6" hidden="1" outlineLevel="1">
      <c r="A62" s="124" t="s">
        <v>60</v>
      </c>
      <c r="B62" s="43"/>
      <c r="C62" s="43"/>
      <c r="D62" s="98"/>
      <c r="E62" s="158"/>
    </row>
    <row r="63" spans="1:6" outlineLevel="1">
      <c r="A63" s="165" t="s">
        <v>273</v>
      </c>
      <c r="B63" s="43">
        <f>'Données du cas'!B15*'Compte de résultat'!B55</f>
        <v>6930</v>
      </c>
      <c r="C63" s="43">
        <f>B63</f>
        <v>6930</v>
      </c>
      <c r="D63" s="98">
        <f>C63/B25</f>
        <v>2.5000000000000001E-2</v>
      </c>
      <c r="E63" s="158"/>
    </row>
    <row r="64" spans="1:6" collapsed="1">
      <c r="A64" s="84" t="s">
        <v>61</v>
      </c>
      <c r="B64" s="43">
        <f>SUM(B65:B68)</f>
        <v>4000</v>
      </c>
      <c r="C64" s="43"/>
      <c r="D64" s="98"/>
      <c r="E64" s="158">
        <f>B64</f>
        <v>4000</v>
      </c>
    </row>
    <row r="65" spans="1:6" hidden="1" outlineLevel="1">
      <c r="A65" s="124" t="s">
        <v>74</v>
      </c>
      <c r="B65" s="43">
        <f>'Données du cas'!B7/'Données du cas'!B8</f>
        <v>4000</v>
      </c>
      <c r="C65" s="43"/>
      <c r="D65" s="98"/>
      <c r="E65" s="158"/>
    </row>
    <row r="66" spans="1:6" hidden="1" outlineLevel="1">
      <c r="A66" s="161" t="s">
        <v>62</v>
      </c>
      <c r="B66" s="43"/>
      <c r="C66" s="43"/>
      <c r="D66" s="98"/>
      <c r="E66" s="158"/>
    </row>
    <row r="67" spans="1:6" hidden="1" outlineLevel="1">
      <c r="A67" s="161" t="s">
        <v>63</v>
      </c>
      <c r="B67" s="43"/>
      <c r="C67" s="43"/>
      <c r="D67" s="98"/>
      <c r="E67" s="158"/>
    </row>
    <row r="68" spans="1:6" hidden="1" outlineLevel="1">
      <c r="A68" s="161" t="s">
        <v>64</v>
      </c>
      <c r="B68" s="43"/>
      <c r="C68" s="43"/>
      <c r="D68" s="98"/>
      <c r="E68" s="158"/>
    </row>
    <row r="69" spans="1:6">
      <c r="A69" s="160" t="s">
        <v>304</v>
      </c>
      <c r="B69" s="43">
        <f>'CA et CV'!O11</f>
        <v>48509.999999999993</v>
      </c>
      <c r="C69" s="43" t="s">
        <v>283</v>
      </c>
      <c r="D69" s="98"/>
      <c r="E69" s="158"/>
      <c r="F69" t="s">
        <v>298</v>
      </c>
    </row>
    <row r="70" spans="1:6">
      <c r="A70" s="160" t="s">
        <v>305</v>
      </c>
      <c r="B70" s="43">
        <f>'Données du cas'!B37*'Données du cas'!B38+'Données du cas'!B41*'Données du cas'!B44</f>
        <v>24010</v>
      </c>
      <c r="C70" s="43"/>
      <c r="D70" s="98"/>
      <c r="E70" s="158">
        <f>B70</f>
        <v>24010</v>
      </c>
      <c r="F70" t="s">
        <v>307</v>
      </c>
    </row>
    <row r="71" spans="1:6">
      <c r="A71" s="166" t="s">
        <v>65</v>
      </c>
      <c r="B71" s="167">
        <f>SUM(B33:B63)+B64+B69+B70</f>
        <v>278423</v>
      </c>
      <c r="C71" s="167"/>
      <c r="D71" s="168"/>
      <c r="E71" s="169"/>
    </row>
    <row r="72" spans="1:6">
      <c r="A72" s="170" t="s">
        <v>259</v>
      </c>
      <c r="B72" s="171">
        <f>B19-B71</f>
        <v>47287</v>
      </c>
      <c r="C72" s="171"/>
      <c r="D72" s="172"/>
      <c r="E72" s="173"/>
    </row>
    <row r="73" spans="1:6">
      <c r="A73" s="166" t="s">
        <v>66</v>
      </c>
      <c r="B73" s="167"/>
      <c r="C73" s="167"/>
      <c r="D73" s="168"/>
      <c r="E73" s="169"/>
    </row>
    <row r="74" spans="1:6">
      <c r="A74" s="160" t="s">
        <v>67</v>
      </c>
      <c r="B74" s="174">
        <f>'Bilan, FR, BFR, TR, CAF'!I14</f>
        <v>772.04031517564465</v>
      </c>
      <c r="C74" s="174"/>
      <c r="D74" s="175"/>
      <c r="E74" s="176">
        <f>B74</f>
        <v>772.04031517564465</v>
      </c>
    </row>
    <row r="75" spans="1:6">
      <c r="A75" s="160" t="s">
        <v>68</v>
      </c>
      <c r="B75" s="174">
        <f>SUM('Plan de trésorerie'!B26:N26)</f>
        <v>2.2464958042663787</v>
      </c>
      <c r="C75" s="174" t="s">
        <v>283</v>
      </c>
      <c r="D75" s="175"/>
      <c r="E75" s="176">
        <f>B75</f>
        <v>2.2464958042663787</v>
      </c>
      <c r="F75" t="s">
        <v>297</v>
      </c>
    </row>
    <row r="76" spans="1:6">
      <c r="A76" s="160" t="s">
        <v>69</v>
      </c>
      <c r="B76" s="43">
        <v>0</v>
      </c>
      <c r="C76" s="43"/>
      <c r="D76" s="98"/>
      <c r="E76" s="158"/>
    </row>
    <row r="77" spans="1:6">
      <c r="A77" s="166" t="s">
        <v>70</v>
      </c>
      <c r="B77" s="167">
        <f>SUM(B74:B76)</f>
        <v>774.28681097991102</v>
      </c>
      <c r="C77" s="167"/>
      <c r="D77" s="168"/>
      <c r="E77" s="169"/>
    </row>
    <row r="78" spans="1:6">
      <c r="A78" s="165"/>
      <c r="B78" s="43"/>
      <c r="C78" s="43"/>
      <c r="D78" s="98"/>
      <c r="E78" s="158"/>
    </row>
    <row r="79" spans="1:6">
      <c r="A79" s="170" t="s">
        <v>71</v>
      </c>
      <c r="B79" s="167">
        <f>B71+B77</f>
        <v>279197.28681097989</v>
      </c>
      <c r="C79" s="167">
        <f>SUM(C29:C78)</f>
        <v>164703</v>
      </c>
      <c r="D79" s="168">
        <f>D33+D34+D48+D55+D63</f>
        <v>0.59416666666666673</v>
      </c>
      <c r="E79" s="169">
        <f>SUM(E29:E78)</f>
        <v>65984.286810979916</v>
      </c>
    </row>
    <row r="80" spans="1:6">
      <c r="A80" s="157" t="s">
        <v>260</v>
      </c>
      <c r="B80" s="167">
        <f>B19-B79</f>
        <v>46512.713189020113</v>
      </c>
      <c r="C80" s="167"/>
      <c r="D80" s="167"/>
      <c r="E80" s="169"/>
      <c r="F80" s="29"/>
    </row>
    <row r="81" spans="1:6">
      <c r="A81" s="177" t="s">
        <v>72</v>
      </c>
      <c r="B81" s="43">
        <v>0</v>
      </c>
      <c r="C81" s="43"/>
      <c r="D81" s="43"/>
      <c r="E81" s="158"/>
      <c r="F81" t="s">
        <v>196</v>
      </c>
    </row>
    <row r="82" spans="1:6">
      <c r="A82" s="166" t="s">
        <v>73</v>
      </c>
      <c r="B82" s="167">
        <f>B80/3</f>
        <v>15504.23772967337</v>
      </c>
      <c r="C82" s="167"/>
      <c r="D82" s="167"/>
      <c r="E82" s="169"/>
    </row>
    <row r="83" spans="1:6">
      <c r="A83" s="84"/>
      <c r="B83" s="43"/>
      <c r="C83" s="43"/>
      <c r="D83" s="43"/>
      <c r="E83" s="158"/>
    </row>
    <row r="84" spans="1:6" ht="15" thickBot="1">
      <c r="A84" s="178" t="s">
        <v>261</v>
      </c>
      <c r="B84" s="179">
        <f>B80-B82</f>
        <v>31008.475459346744</v>
      </c>
      <c r="C84" s="180"/>
      <c r="D84" s="180"/>
      <c r="E84" s="83"/>
    </row>
    <row r="85" spans="1:6" ht="15" thickTop="1">
      <c r="C85" s="29"/>
      <c r="D85" s="29"/>
      <c r="F85" s="29"/>
    </row>
    <row r="86" spans="1:6">
      <c r="A86" t="s">
        <v>302</v>
      </c>
      <c r="B86" s="55">
        <f>(B25-C79)/B25</f>
        <v>0.40583333333333332</v>
      </c>
    </row>
    <row r="87" spans="1:6">
      <c r="A87" s="118" t="s">
        <v>300</v>
      </c>
      <c r="B87" s="117">
        <f>E79/B86</f>
        <v>162589.61842541254</v>
      </c>
    </row>
    <row r="88" spans="1:6">
      <c r="A88" s="118" t="s">
        <v>340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heetPr>
  <dimension ref="A1:Q59"/>
  <sheetViews>
    <sheetView topLeftCell="A17" workbookViewId="0">
      <selection activeCell="E60" sqref="E60"/>
    </sheetView>
  </sheetViews>
  <sheetFormatPr baseColWidth="10" defaultRowHeight="14" outlineLevelRow="1" x14ac:dyDescent="0"/>
  <cols>
    <col min="1" max="1" width="6.5" bestFit="1" customWidth="1"/>
    <col min="2" max="2" width="40.1640625" customWidth="1"/>
    <col min="3" max="3" width="9.5" bestFit="1" customWidth="1"/>
    <col min="4" max="4" width="29.33203125" customWidth="1"/>
    <col min="5" max="5" width="9" bestFit="1" customWidth="1"/>
    <col min="6" max="6" width="7.6640625" bestFit="1" customWidth="1"/>
    <col min="7" max="7" width="7.1640625" bestFit="1" customWidth="1"/>
    <col min="8" max="8" width="8.33203125" bestFit="1" customWidth="1"/>
    <col min="11" max="11" width="14.5" bestFit="1" customWidth="1"/>
    <col min="12" max="13" width="8" bestFit="1" customWidth="1"/>
    <col min="14" max="14" width="9.33203125" bestFit="1" customWidth="1"/>
    <col min="15" max="15" width="14.1640625" bestFit="1" customWidth="1"/>
    <col min="16" max="16" width="17.5" bestFit="1" customWidth="1"/>
    <col min="17" max="17" width="16.6640625" bestFit="1" customWidth="1"/>
  </cols>
  <sheetData>
    <row r="1" spans="1:11">
      <c r="A1" s="19" t="s">
        <v>10</v>
      </c>
      <c r="B1" s="20" t="s">
        <v>1</v>
      </c>
      <c r="C1" s="21" t="s">
        <v>14</v>
      </c>
      <c r="E1" s="196" t="s">
        <v>131</v>
      </c>
      <c r="F1" s="197"/>
      <c r="G1" s="197"/>
      <c r="H1" s="197"/>
      <c r="I1" s="197"/>
      <c r="J1" s="197"/>
      <c r="K1" s="197"/>
    </row>
    <row r="2" spans="1:11">
      <c r="A2" s="23" t="s">
        <v>75</v>
      </c>
      <c r="B2" s="12" t="s">
        <v>76</v>
      </c>
      <c r="C2" s="27"/>
      <c r="E2" t="s">
        <v>132</v>
      </c>
      <c r="F2" t="s">
        <v>138</v>
      </c>
      <c r="G2" t="s">
        <v>136</v>
      </c>
      <c r="H2" t="s">
        <v>137</v>
      </c>
      <c r="I2" t="s">
        <v>139</v>
      </c>
      <c r="J2" t="s">
        <v>135</v>
      </c>
      <c r="K2" t="s">
        <v>133</v>
      </c>
    </row>
    <row r="3" spans="1:11">
      <c r="A3" s="23" t="s">
        <v>77</v>
      </c>
      <c r="B3" s="24" t="s">
        <v>78</v>
      </c>
      <c r="C3" s="30">
        <f>'Données du cas'!B5*'Données du cas'!B4</f>
        <v>30000</v>
      </c>
      <c r="E3" s="2">
        <v>1</v>
      </c>
      <c r="F3" s="32">
        <f>-PPMT('Données du cas'!$B$10/12,'Bilan, FR, BFR, TR, CAF'!E3,'Données du cas'!$B$11,'Données du cas'!$B$9,0)</f>
        <v>381.32906177332671</v>
      </c>
      <c r="G3" s="32">
        <f>-IPMT('Données du cas'!$B$10/12,'Bilan, FR, BFR, TR, CAF'!E3,'Données du cas'!$B$11,'Données du cas'!$B$9,0)</f>
        <v>75</v>
      </c>
      <c r="H3" s="32">
        <f>F3+G3</f>
        <v>456.32906177332671</v>
      </c>
      <c r="I3" s="32">
        <f>G3</f>
        <v>75</v>
      </c>
      <c r="J3" s="32">
        <f>F3</f>
        <v>381.32906177332671</v>
      </c>
      <c r="K3" s="33">
        <f>'Données du cas'!$B$9</f>
        <v>15000</v>
      </c>
    </row>
    <row r="4" spans="1:11">
      <c r="A4" s="23" t="s">
        <v>79</v>
      </c>
      <c r="B4" s="3" t="s">
        <v>144</v>
      </c>
      <c r="C4" s="27">
        <v>0</v>
      </c>
      <c r="E4" s="2">
        <v>2</v>
      </c>
      <c r="F4" s="32">
        <f>-PPMT('Données du cas'!$B$10/12,'Bilan, FR, BFR, TR, CAF'!E4,'Données du cas'!$B$11,'Données du cas'!$B$9,0)</f>
        <v>383.23570708219336</v>
      </c>
      <c r="G4" s="32">
        <f>-IPMT('Données du cas'!$B$10/12,'Bilan, FR, BFR, TR, CAF'!E4,'Données du cas'!$B$11,'Données du cas'!$B$9,0)</f>
        <v>73.093354691133371</v>
      </c>
      <c r="H4" s="32">
        <f t="shared" ref="H4" si="0">F4+G4</f>
        <v>456.32906177332671</v>
      </c>
      <c r="I4" s="32">
        <f t="shared" ref="I4" si="1">I3+G4</f>
        <v>148.09335469113336</v>
      </c>
      <c r="J4" s="32">
        <f>J3+F4</f>
        <v>764.56476885552001</v>
      </c>
      <c r="K4" s="32">
        <f t="shared" ref="K4" si="2">$K$3-J4</f>
        <v>14235.43523114448</v>
      </c>
    </row>
    <row r="5" spans="1:11" ht="28" customHeight="1">
      <c r="A5" s="23"/>
      <c r="B5" s="4" t="s">
        <v>241</v>
      </c>
      <c r="C5" s="136">
        <f>IF(AND('Compte de résultat'!B84&gt;0,5%*'Compte de résultat'!B84&lt;10%*C3),5%*'Compte de résultat'!B84,0)</f>
        <v>1550.4237729673373</v>
      </c>
      <c r="E5" s="2">
        <v>3</v>
      </c>
      <c r="F5" s="32">
        <f>-PPMT('Données du cas'!$B$10/12,'Bilan, FR, BFR, TR, CAF'!E5,'Données du cas'!$B$11,'Données du cas'!$B$9,0)</f>
        <v>385.15188561760431</v>
      </c>
      <c r="G5" s="32">
        <f>-IPMT('Données du cas'!$B$10/12,'Bilan, FR, BFR, TR, CAF'!E5,'Données du cas'!$B$11,'Données du cas'!$B$9,0)</f>
        <v>71.177176155722393</v>
      </c>
      <c r="H5" s="32">
        <f>F5+G5</f>
        <v>456.32906177332671</v>
      </c>
      <c r="I5" s="32">
        <f t="shared" ref="I5:I36" si="3">I4+G5</f>
        <v>219.27053084685576</v>
      </c>
      <c r="J5" s="32">
        <f>J4+F5</f>
        <v>1149.7166544731244</v>
      </c>
      <c r="K5" s="32">
        <f t="shared" ref="K5:K36" si="4">$K$3-J5</f>
        <v>13850.283345526876</v>
      </c>
    </row>
    <row r="6" spans="1:11" ht="32" customHeight="1">
      <c r="A6" s="23" t="s">
        <v>80</v>
      </c>
      <c r="B6" s="4" t="s">
        <v>202</v>
      </c>
      <c r="C6" s="94">
        <f>(1-'Données du cas'!B30)*'Compte de résultat'!B84</f>
        <v>31008.475459346744</v>
      </c>
      <c r="D6" s="1" t="s">
        <v>203</v>
      </c>
      <c r="E6" s="2">
        <v>4</v>
      </c>
      <c r="F6" s="32">
        <f>-PPMT('Données du cas'!$B$10/12,'Bilan, FR, BFR, TR, CAF'!E6,'Données du cas'!$B$11,'Données du cas'!$B$9,0)</f>
        <v>387.07764504569235</v>
      </c>
      <c r="G6" s="32">
        <f>-IPMT('Données du cas'!$B$10/12,'Bilan, FR, BFR, TR, CAF'!E6,'Données du cas'!$B$11,'Données du cas'!$B$9,0)</f>
        <v>69.251416727634378</v>
      </c>
      <c r="H6" s="32">
        <f>F6+G6</f>
        <v>456.32906177332671</v>
      </c>
      <c r="I6" s="32">
        <f t="shared" si="3"/>
        <v>288.52194757449013</v>
      </c>
      <c r="J6" s="32">
        <f t="shared" ref="J6:J9" si="5">J5+F6</f>
        <v>1536.7942995188168</v>
      </c>
      <c r="K6" s="32">
        <f t="shared" si="4"/>
        <v>13463.205700481183</v>
      </c>
    </row>
    <row r="7" spans="1:11">
      <c r="A7" s="8"/>
      <c r="B7" s="3"/>
      <c r="C7" s="27"/>
      <c r="E7" s="2">
        <v>5</v>
      </c>
      <c r="F7" s="32">
        <f>-PPMT('Données du cas'!$B$10/12,'Bilan, FR, BFR, TR, CAF'!E7,'Données du cas'!$B$11,'Données du cas'!$B$9,0)</f>
        <v>389.0130332709208</v>
      </c>
      <c r="G7" s="32">
        <f>-IPMT('Données du cas'!$B$10/12,'Bilan, FR, BFR, TR, CAF'!E7,'Données du cas'!$B$11,'Données du cas'!$B$9,0)</f>
        <v>67.316028502405914</v>
      </c>
      <c r="H7" s="32">
        <f>F7+G7</f>
        <v>456.32906177332671</v>
      </c>
      <c r="I7" s="32">
        <f t="shared" si="3"/>
        <v>355.83797607689604</v>
      </c>
      <c r="J7" s="32">
        <f t="shared" si="5"/>
        <v>1925.8073327897378</v>
      </c>
      <c r="K7" s="32">
        <f t="shared" si="4"/>
        <v>13074.192667210262</v>
      </c>
    </row>
    <row r="8" spans="1:11">
      <c r="A8" s="23" t="s">
        <v>81</v>
      </c>
      <c r="B8" s="12" t="s">
        <v>82</v>
      </c>
      <c r="E8" s="2">
        <v>6</v>
      </c>
      <c r="F8" s="32">
        <f>-PPMT('Données du cas'!$B$10/12,'Bilan, FR, BFR, TR, CAF'!E8,'Données du cas'!$B$11,'Données du cas'!$B$9,0)</f>
        <v>390.95809843727534</v>
      </c>
      <c r="G8" s="32">
        <f>-IPMT('Données du cas'!$B$10/12,'Bilan, FR, BFR, TR, CAF'!E8,'Données du cas'!$B$11,'Données du cas'!$B$9,0)</f>
        <v>65.370963336051304</v>
      </c>
      <c r="H8" s="32">
        <f>F8+G8</f>
        <v>456.32906177332666</v>
      </c>
      <c r="I8" s="32">
        <f t="shared" si="3"/>
        <v>421.20893941294736</v>
      </c>
      <c r="J8" s="32">
        <f t="shared" si="5"/>
        <v>2316.7654312270133</v>
      </c>
      <c r="K8" s="32">
        <f t="shared" si="4"/>
        <v>12683.234568772987</v>
      </c>
    </row>
    <row r="9" spans="1:11">
      <c r="A9" s="23" t="s">
        <v>83</v>
      </c>
      <c r="B9" s="12" t="s">
        <v>84</v>
      </c>
      <c r="C9" s="30">
        <f>K14</f>
        <v>10296.091573895723</v>
      </c>
      <c r="E9" s="2">
        <v>7</v>
      </c>
      <c r="F9" s="32">
        <f>-PPMT('Données du cas'!$B$10/12,'Bilan, FR, BFR, TR, CAF'!E9,'Données du cas'!$B$11,'Données du cas'!$B$9,0)</f>
        <v>392.91288892946176</v>
      </c>
      <c r="G9" s="32">
        <f>-IPMT('Données du cas'!$B$10/12,'Bilan, FR, BFR, TR, CAF'!E9,'Données du cas'!$B$11,'Données du cas'!$B$9,0)</f>
        <v>63.416172843864942</v>
      </c>
      <c r="H9" s="32">
        <f>F9+G9</f>
        <v>456.32906177332671</v>
      </c>
      <c r="I9" s="32">
        <f t="shared" si="3"/>
        <v>484.62511225681232</v>
      </c>
      <c r="J9" s="32">
        <f t="shared" si="5"/>
        <v>2709.6783201564749</v>
      </c>
      <c r="K9" s="32">
        <f t="shared" si="4"/>
        <v>12290.321679843524</v>
      </c>
    </row>
    <row r="10" spans="1:11">
      <c r="A10" s="23" t="s">
        <v>85</v>
      </c>
      <c r="B10" s="12" t="s">
        <v>86</v>
      </c>
      <c r="C10" s="30">
        <f>SUM(C11:C16)</f>
        <v>35740.237729673368</v>
      </c>
      <c r="E10" s="2">
        <v>8</v>
      </c>
      <c r="F10" s="32">
        <f>-PPMT('Données du cas'!$B$10/12,'Bilan, FR, BFR, TR, CAF'!E10,'Données du cas'!$B$11,'Données du cas'!$B$9,0)</f>
        <v>394.87745337410911</v>
      </c>
      <c r="G10" s="32">
        <f>-IPMT('Données du cas'!$B$10/12,'Bilan, FR, BFR, TR, CAF'!E10,'Données du cas'!$B$11,'Données du cas'!$B$9,0)</f>
        <v>61.451608399217633</v>
      </c>
      <c r="H10" s="32">
        <f t="shared" ref="H10:H36" si="6">F10+G10</f>
        <v>456.32906177332677</v>
      </c>
      <c r="I10" s="32">
        <f t="shared" si="3"/>
        <v>546.07672065602992</v>
      </c>
      <c r="J10" s="32">
        <f t="shared" ref="J10:J36" si="7">J9+F10</f>
        <v>3104.5557735305838</v>
      </c>
      <c r="K10" s="32">
        <f t="shared" si="4"/>
        <v>11895.444226469415</v>
      </c>
    </row>
    <row r="11" spans="1:11">
      <c r="A11" s="23" t="s">
        <v>201</v>
      </c>
      <c r="B11" s="24" t="s">
        <v>240</v>
      </c>
      <c r="C11" s="52">
        <f>'Plan de trésorerie'!N26</f>
        <v>0</v>
      </c>
      <c r="E11" s="2">
        <v>9</v>
      </c>
      <c r="F11" s="32">
        <f>-PPMT('Données du cas'!$B$10/12,'Bilan, FR, BFR, TR, CAF'!E11,'Données du cas'!$B$11,'Données du cas'!$B$9,0)</f>
        <v>396.85184064097967</v>
      </c>
      <c r="G11" s="32">
        <f>-IPMT('Données du cas'!$B$10/12,'Bilan, FR, BFR, TR, CAF'!E11,'Données du cas'!$B$11,'Données du cas'!$B$9,0)</f>
        <v>59.477221132347076</v>
      </c>
      <c r="H11" s="32">
        <f t="shared" si="6"/>
        <v>456.32906177332677</v>
      </c>
      <c r="I11" s="32">
        <f t="shared" si="3"/>
        <v>605.55394178837696</v>
      </c>
      <c r="J11" s="32">
        <f t="shared" si="7"/>
        <v>3501.4076141715636</v>
      </c>
      <c r="K11" s="32">
        <f t="shared" si="4"/>
        <v>11498.592385828437</v>
      </c>
    </row>
    <row r="12" spans="1:11">
      <c r="A12" s="23" t="s">
        <v>87</v>
      </c>
      <c r="B12" s="4" t="s">
        <v>88</v>
      </c>
      <c r="C12" s="27">
        <f>IF('Données du cas'!$B$25=0,0,IF('Données du cas'!$B$25=30,'Plan de trésorerie'!M15,IF('Données du cas'!$B$25=60,'Plan de trésorerie'!L15+'Plan de trésorerie'!M15,IF('Données du cas'!$B$25=90,'Plan de trésorerie'!K15+'Plan de trésorerie'!L15+'Plan de trésorerie'!M15,0))))</f>
        <v>8316</v>
      </c>
      <c r="E12" s="2">
        <v>10</v>
      </c>
      <c r="F12" s="32">
        <f>-PPMT('Données du cas'!$B$10/12,'Bilan, FR, BFR, TR, CAF'!E12,'Données du cas'!$B$11,'Données du cas'!$B$9,0)</f>
        <v>398.8360998441845</v>
      </c>
      <c r="G12" s="32">
        <f>-IPMT('Données du cas'!$B$10/12,'Bilan, FR, BFR, TR, CAF'!E12,'Données du cas'!$B$11,'Données du cas'!$B$9,0)</f>
        <v>57.492961929142176</v>
      </c>
      <c r="H12" s="32">
        <f t="shared" si="6"/>
        <v>456.32906177332666</v>
      </c>
      <c r="I12" s="32">
        <f t="shared" si="3"/>
        <v>663.04690371751917</v>
      </c>
      <c r="J12" s="32">
        <f t="shared" si="7"/>
        <v>3900.2437140157481</v>
      </c>
      <c r="K12" s="32">
        <f t="shared" si="4"/>
        <v>11099.756285984251</v>
      </c>
    </row>
    <row r="13" spans="1:11">
      <c r="A13" s="23" t="s">
        <v>89</v>
      </c>
      <c r="B13" s="3" t="s">
        <v>90</v>
      </c>
      <c r="C13" s="27">
        <f>'Compte de résultat'!B82</f>
        <v>15504.23772967337</v>
      </c>
      <c r="E13" s="2">
        <v>11</v>
      </c>
      <c r="F13" s="32">
        <f>-PPMT('Données du cas'!$B$10/12,'Bilan, FR, BFR, TR, CAF'!E13,'Données du cas'!$B$11,'Données du cas'!$B$9,0)</f>
        <v>400.83028034340538</v>
      </c>
      <c r="G13" s="32">
        <f>-IPMT('Données du cas'!$B$10/12,'Bilan, FR, BFR, TR, CAF'!E13,'Données du cas'!$B$11,'Données du cas'!$B$9,0)</f>
        <v>55.498781429921245</v>
      </c>
      <c r="H13" s="32">
        <f t="shared" si="6"/>
        <v>456.3290617733266</v>
      </c>
      <c r="I13" s="32">
        <f t="shared" si="3"/>
        <v>718.54568514744039</v>
      </c>
      <c r="J13" s="32">
        <f t="shared" si="7"/>
        <v>4301.0739943591534</v>
      </c>
      <c r="K13" s="32">
        <f t="shared" si="4"/>
        <v>10698.926005640846</v>
      </c>
    </row>
    <row r="14" spans="1:11">
      <c r="A14" s="23" t="s">
        <v>91</v>
      </c>
      <c r="B14" s="3" t="s">
        <v>92</v>
      </c>
      <c r="C14" s="27">
        <f>'Plan de trésorerie'!M20+'Plan de trésorerie'!M21</f>
        <v>2050</v>
      </c>
      <c r="E14" s="2">
        <v>12</v>
      </c>
      <c r="F14" s="32">
        <f>-PPMT('Données du cas'!$B$10/12,'Bilan, FR, BFR, TR, CAF'!E14,'Données du cas'!$B$11,'Données du cas'!$B$9,0)</f>
        <v>402.83443174512252</v>
      </c>
      <c r="G14" s="32">
        <f>-IPMT('Données du cas'!$B$10/12,'Bilan, FR, BFR, TR, CAF'!E14,'Données du cas'!$B$11,'Données du cas'!$B$9,0)</f>
        <v>53.494630028204227</v>
      </c>
      <c r="H14" s="32">
        <f t="shared" si="6"/>
        <v>456.32906177332677</v>
      </c>
      <c r="I14" s="32">
        <f t="shared" si="3"/>
        <v>772.04031517564465</v>
      </c>
      <c r="J14" s="32">
        <f t="shared" si="7"/>
        <v>4703.9084261042763</v>
      </c>
      <c r="K14" s="32">
        <f t="shared" si="4"/>
        <v>10296.091573895723</v>
      </c>
    </row>
    <row r="15" spans="1:11">
      <c r="A15" s="23" t="s">
        <v>93</v>
      </c>
      <c r="B15" s="4" t="s">
        <v>178</v>
      </c>
      <c r="C15" s="27">
        <f>'Plan de TVA'!B27</f>
        <v>9870</v>
      </c>
      <c r="E15" s="2">
        <v>13</v>
      </c>
      <c r="F15" s="32">
        <f>-PPMT('Données du cas'!$B$10/12,'Bilan, FR, BFR, TR, CAF'!E15,'Données du cas'!$B$11,'Données du cas'!$B$9,0)</f>
        <v>404.84860390384807</v>
      </c>
      <c r="G15" s="32">
        <f>-IPMT('Données du cas'!$B$10/12,'Bilan, FR, BFR, TR, CAF'!E15,'Données du cas'!$B$11,'Données du cas'!$B$9,0)</f>
        <v>51.480457869478627</v>
      </c>
      <c r="H15" s="32">
        <f t="shared" si="6"/>
        <v>456.32906177332671</v>
      </c>
      <c r="I15" s="32">
        <f t="shared" si="3"/>
        <v>823.52077304512329</v>
      </c>
      <c r="J15" s="32">
        <f t="shared" si="7"/>
        <v>5108.7570300081243</v>
      </c>
      <c r="K15" s="32">
        <f t="shared" si="4"/>
        <v>9891.2429699918757</v>
      </c>
    </row>
    <row r="16" spans="1:11">
      <c r="A16" s="23" t="s">
        <v>94</v>
      </c>
      <c r="B16" s="4" t="s">
        <v>95</v>
      </c>
      <c r="C16" s="27">
        <f>IF('Compte de résultat'!B84&gt;0, 'Données du cas'!B30*'Compte de résultat'!B84,0)</f>
        <v>0</v>
      </c>
      <c r="E16" s="2">
        <v>14</v>
      </c>
      <c r="F16" s="32">
        <f>-PPMT('Données du cas'!$B$10/12,'Bilan, FR, BFR, TR, CAF'!E16,'Données du cas'!$B$11,'Données du cas'!$B$9,0)</f>
        <v>406.87284692336732</v>
      </c>
      <c r="G16" s="32">
        <f>-IPMT('Données du cas'!$B$10/12,'Bilan, FR, BFR, TR, CAF'!E16,'Données du cas'!$B$11,'Données du cas'!$B$9,0)</f>
        <v>49.456214849959373</v>
      </c>
      <c r="H16" s="32">
        <f t="shared" si="6"/>
        <v>456.32906177332671</v>
      </c>
      <c r="I16" s="32">
        <f t="shared" si="3"/>
        <v>872.97698789508263</v>
      </c>
      <c r="J16" s="32">
        <f t="shared" si="7"/>
        <v>5515.6298769314917</v>
      </c>
      <c r="K16" s="32">
        <f t="shared" si="4"/>
        <v>9484.3701230685074</v>
      </c>
    </row>
    <row r="17" spans="1:11">
      <c r="A17" s="8"/>
      <c r="B17" s="3"/>
      <c r="C17" s="27"/>
      <c r="E17" s="2">
        <v>15</v>
      </c>
      <c r="F17" s="32">
        <f>-PPMT('Données du cas'!$B$10/12,'Bilan, FR, BFR, TR, CAF'!E17,'Données du cas'!$B$11,'Données du cas'!$B$9,0)</f>
        <v>408.90721115798414</v>
      </c>
      <c r="G17" s="32">
        <f>-IPMT('Données du cas'!$B$10/12,'Bilan, FR, BFR, TR, CAF'!E17,'Données du cas'!$B$11,'Données du cas'!$B$9,0)</f>
        <v>47.421850615342535</v>
      </c>
      <c r="H17" s="32">
        <f t="shared" si="6"/>
        <v>456.32906177332666</v>
      </c>
      <c r="I17" s="32">
        <f t="shared" si="3"/>
        <v>920.39883851042521</v>
      </c>
      <c r="J17" s="32">
        <f t="shared" si="7"/>
        <v>5924.5370880894761</v>
      </c>
      <c r="K17" s="32">
        <f t="shared" si="4"/>
        <v>9075.462911910523</v>
      </c>
    </row>
    <row r="18" spans="1:11">
      <c r="A18" s="23" t="s">
        <v>96</v>
      </c>
      <c r="B18" s="12" t="s">
        <v>97</v>
      </c>
      <c r="C18" s="27">
        <f>IF('Plan de trésorerie'!N3&lt;0,-'Plan de trésorerie'!N3,0)</f>
        <v>0</v>
      </c>
      <c r="E18" s="2">
        <v>16</v>
      </c>
      <c r="F18" s="32">
        <f>-PPMT('Données du cas'!$B$10/12,'Bilan, FR, BFR, TR, CAF'!E18,'Données du cas'!$B$11,'Données du cas'!$B$9,0)</f>
        <v>410.95174721377407</v>
      </c>
      <c r="G18" s="32">
        <f>-IPMT('Données du cas'!$B$10/12,'Bilan, FR, BFR, TR, CAF'!E18,'Données du cas'!$B$11,'Données du cas'!$B$9,0)</f>
        <v>45.377314559552623</v>
      </c>
      <c r="H18" s="32">
        <f t="shared" si="6"/>
        <v>456.32906177332671</v>
      </c>
      <c r="I18" s="32">
        <f t="shared" si="3"/>
        <v>965.77615306997779</v>
      </c>
      <c r="J18" s="32">
        <f t="shared" si="7"/>
        <v>6335.4888353032502</v>
      </c>
      <c r="K18" s="32">
        <f t="shared" si="4"/>
        <v>8664.5111646967489</v>
      </c>
    </row>
    <row r="19" spans="1:11">
      <c r="A19" s="8"/>
      <c r="B19" s="3"/>
      <c r="C19" s="27"/>
      <c r="E19" s="2">
        <v>17</v>
      </c>
      <c r="F19" s="32">
        <f>-PPMT('Données du cas'!$B$10/12,'Bilan, FR, BFR, TR, CAF'!E19,'Données du cas'!$B$11,'Données du cas'!$B$9,0)</f>
        <v>413.00650594984296</v>
      </c>
      <c r="G19" s="32">
        <f>-IPMT('Données du cas'!$B$10/12,'Bilan, FR, BFR, TR, CAF'!E19,'Données du cas'!$B$11,'Données du cas'!$B$9,0)</f>
        <v>43.322555823483746</v>
      </c>
      <c r="H19" s="32">
        <f t="shared" si="6"/>
        <v>456.32906177332671</v>
      </c>
      <c r="I19" s="32">
        <f t="shared" si="3"/>
        <v>1009.0987088934615</v>
      </c>
      <c r="J19" s="32">
        <f t="shared" si="7"/>
        <v>6748.4953412530931</v>
      </c>
      <c r="K19" s="32">
        <f t="shared" si="4"/>
        <v>8251.5046587469078</v>
      </c>
    </row>
    <row r="20" spans="1:11" ht="15" thickBot="1">
      <c r="A20" s="25"/>
      <c r="B20" s="16" t="s">
        <v>98</v>
      </c>
      <c r="C20" s="34">
        <f>C3+C6+C9+C10+C18</f>
        <v>107044.80476291582</v>
      </c>
      <c r="D20" s="29"/>
      <c r="E20" s="2">
        <v>18</v>
      </c>
      <c r="F20" s="32">
        <f>-PPMT('Données du cas'!$B$10/12,'Bilan, FR, BFR, TR, CAF'!E20,'Données du cas'!$B$11,'Données du cas'!$B$9,0)</f>
        <v>415.07153847959216</v>
      </c>
      <c r="G20" s="32">
        <f>-IPMT('Données du cas'!$B$10/12,'Bilan, FR, BFR, TR, CAF'!E20,'Données du cas'!$B$11,'Données du cas'!$B$9,0)</f>
        <v>41.257523293734529</v>
      </c>
      <c r="H20" s="32">
        <f t="shared" si="6"/>
        <v>456.32906177332671</v>
      </c>
      <c r="I20" s="32">
        <f t="shared" si="3"/>
        <v>1050.3562321871962</v>
      </c>
      <c r="J20" s="32">
        <f t="shared" si="7"/>
        <v>7163.5668797326853</v>
      </c>
      <c r="K20" s="32">
        <f t="shared" si="4"/>
        <v>7836.4331202673147</v>
      </c>
    </row>
    <row r="21" spans="1:11" ht="15" thickBot="1">
      <c r="C21" s="29"/>
      <c r="D21" s="69"/>
      <c r="E21" s="2">
        <v>19</v>
      </c>
      <c r="F21" s="32">
        <f>-PPMT('Données du cas'!$B$10/12,'Bilan, FR, BFR, TR, CAF'!E21,'Données du cas'!$B$11,'Données du cas'!$B$9,0)</f>
        <v>417.14689617199019</v>
      </c>
      <c r="G21" s="32">
        <f>-IPMT('Données du cas'!$B$10/12,'Bilan, FR, BFR, TR, CAF'!E21,'Données du cas'!$B$11,'Données du cas'!$B$9,0)</f>
        <v>39.182165601336578</v>
      </c>
      <c r="H21" s="32">
        <f t="shared" si="6"/>
        <v>456.32906177332677</v>
      </c>
      <c r="I21" s="32">
        <f t="shared" si="3"/>
        <v>1089.5383977885326</v>
      </c>
      <c r="J21" s="32">
        <f t="shared" si="7"/>
        <v>7580.7137759046755</v>
      </c>
      <c r="K21" s="32">
        <f t="shared" si="4"/>
        <v>7419.2862240953245</v>
      </c>
    </row>
    <row r="22" spans="1:11">
      <c r="A22" s="26" t="s">
        <v>10</v>
      </c>
      <c r="B22" s="20" t="s">
        <v>0</v>
      </c>
      <c r="C22" s="31" t="s">
        <v>14</v>
      </c>
      <c r="E22" s="2">
        <v>20</v>
      </c>
      <c r="F22" s="32">
        <f>-PPMT('Données du cas'!$B$10/12,'Bilan, FR, BFR, TR, CAF'!E22,'Données du cas'!$B$11,'Données du cas'!$B$9,0)</f>
        <v>419.23263065285005</v>
      </c>
      <c r="G22" s="32">
        <f>-IPMT('Données du cas'!$B$10/12,'Bilan, FR, BFR, TR, CAF'!E22,'Données du cas'!$B$11,'Données du cas'!$B$9,0)</f>
        <v>37.096431120476616</v>
      </c>
      <c r="H22" s="32">
        <f t="shared" si="6"/>
        <v>456.32906177332666</v>
      </c>
      <c r="I22" s="32">
        <f t="shared" si="3"/>
        <v>1126.6348289090092</v>
      </c>
      <c r="J22" s="32">
        <f t="shared" si="7"/>
        <v>7999.9464065575257</v>
      </c>
      <c r="K22" s="32">
        <f t="shared" si="4"/>
        <v>7000.0535934424743</v>
      </c>
    </row>
    <row r="23" spans="1:11">
      <c r="A23" s="8"/>
      <c r="B23" s="22"/>
      <c r="C23" s="27"/>
      <c r="E23" s="2">
        <v>21</v>
      </c>
      <c r="F23" s="32">
        <f>-PPMT('Données du cas'!$B$10/12,'Bilan, FR, BFR, TR, CAF'!E23,'Données du cas'!$B$11,'Données du cas'!$B$9,0)</f>
        <v>421.32879380611433</v>
      </c>
      <c r="G23" s="32">
        <f>-IPMT('Données du cas'!$B$10/12,'Bilan, FR, BFR, TR, CAF'!E23,'Données du cas'!$B$11,'Données du cas'!$B$9,0)</f>
        <v>35.000267967212366</v>
      </c>
      <c r="H23" s="32">
        <f t="shared" si="6"/>
        <v>456.32906177332671</v>
      </c>
      <c r="I23" s="32">
        <f t="shared" si="3"/>
        <v>1161.6350968762215</v>
      </c>
      <c r="J23" s="32">
        <f t="shared" si="7"/>
        <v>8421.2752003636397</v>
      </c>
      <c r="K23" s="32">
        <f t="shared" si="4"/>
        <v>6578.7247996363603</v>
      </c>
    </row>
    <row r="24" spans="1:11">
      <c r="A24" s="23" t="s">
        <v>99</v>
      </c>
      <c r="B24" s="12" t="s">
        <v>100</v>
      </c>
      <c r="C24" s="30">
        <f>C25+C31</f>
        <v>8000</v>
      </c>
      <c r="E24" s="2">
        <v>22</v>
      </c>
      <c r="F24" s="32">
        <f>-PPMT('Données du cas'!$B$10/12,'Bilan, FR, BFR, TR, CAF'!E24,'Données du cas'!$B$11,'Données du cas'!$B$9,0)</f>
        <v>423.43543777514492</v>
      </c>
      <c r="G24" s="32">
        <f>-IPMT('Données du cas'!$B$10/12,'Bilan, FR, BFR, TR, CAF'!E24,'Données du cas'!$B$11,'Données du cas'!$B$9,0)</f>
        <v>32.893623998181795</v>
      </c>
      <c r="H24" s="32">
        <f t="shared" si="6"/>
        <v>456.32906177332671</v>
      </c>
      <c r="I24" s="32">
        <f t="shared" si="3"/>
        <v>1194.5287208744032</v>
      </c>
      <c r="J24" s="32">
        <f t="shared" si="7"/>
        <v>8844.7106381387839</v>
      </c>
      <c r="K24" s="32">
        <f t="shared" si="4"/>
        <v>6155.2893618612161</v>
      </c>
    </row>
    <row r="25" spans="1:11" collapsed="1">
      <c r="A25" s="23" t="s">
        <v>101</v>
      </c>
      <c r="B25" s="12" t="s">
        <v>102</v>
      </c>
      <c r="C25" s="27"/>
      <c r="E25" s="2">
        <v>23</v>
      </c>
      <c r="F25" s="32">
        <f>-PPMT('Données du cas'!$B$10/12,'Bilan, FR, BFR, TR, CAF'!E25,'Données du cas'!$B$11,'Données du cas'!$B$9,0)</f>
        <v>425.55261496402062</v>
      </c>
      <c r="G25" s="32">
        <f>-IPMT('Données du cas'!$B$10/12,'Bilan, FR, BFR, TR, CAF'!E25,'Données du cas'!$B$11,'Données du cas'!$B$9,0)</f>
        <v>30.776446809306069</v>
      </c>
      <c r="H25" s="32">
        <f t="shared" si="6"/>
        <v>456.32906177332671</v>
      </c>
      <c r="I25" s="32">
        <f t="shared" si="3"/>
        <v>1225.3051676837092</v>
      </c>
      <c r="J25" s="32">
        <f t="shared" si="7"/>
        <v>9270.2632531028048</v>
      </c>
      <c r="K25" s="32">
        <f t="shared" si="4"/>
        <v>5729.7367468971952</v>
      </c>
    </row>
    <row r="26" spans="1:11" hidden="1" outlineLevel="1">
      <c r="A26" s="8"/>
      <c r="B26" s="3" t="s">
        <v>103</v>
      </c>
      <c r="C26" s="27"/>
      <c r="E26" s="2">
        <v>24</v>
      </c>
      <c r="F26" s="32">
        <f>-PPMT('Données du cas'!$B$10/12,'Bilan, FR, BFR, TR, CAF'!E26,'Données du cas'!$B$11,'Données du cas'!$B$9,0)</f>
        <v>427.68037803884073</v>
      </c>
      <c r="G26" s="32">
        <f>-IPMT('Données du cas'!$B$10/12,'Bilan, FR, BFR, TR, CAF'!E26,'Données du cas'!$B$11,'Données du cas'!$B$9,0)</f>
        <v>28.648683734485971</v>
      </c>
      <c r="H26" s="32">
        <f t="shared" si="6"/>
        <v>456.32906177332671</v>
      </c>
      <c r="I26" s="32">
        <f t="shared" si="3"/>
        <v>1253.9538514181952</v>
      </c>
      <c r="J26" s="32">
        <f t="shared" si="7"/>
        <v>9697.9436311416448</v>
      </c>
      <c r="K26" s="32">
        <f t="shared" si="4"/>
        <v>5302.0563688583552</v>
      </c>
    </row>
    <row r="27" spans="1:11" hidden="1" outlineLevel="1">
      <c r="A27" s="8"/>
      <c r="B27" s="14" t="s">
        <v>104</v>
      </c>
      <c r="C27" s="27"/>
      <c r="E27" s="2">
        <v>25</v>
      </c>
      <c r="F27" s="32">
        <f>-PPMT('Données du cas'!$B$10/12,'Bilan, FR, BFR, TR, CAF'!E27,'Données du cas'!$B$11,'Données du cas'!$B$9,0)</f>
        <v>429.81877992903492</v>
      </c>
      <c r="G27" s="32">
        <f>-IPMT('Données du cas'!$B$10/12,'Bilan, FR, BFR, TR, CAF'!E27,'Données du cas'!$B$11,'Données du cas'!$B$9,0)</f>
        <v>26.510281844291768</v>
      </c>
      <c r="H27" s="32">
        <f t="shared" si="6"/>
        <v>456.32906177332666</v>
      </c>
      <c r="I27" s="32">
        <f t="shared" si="3"/>
        <v>1280.4641332624869</v>
      </c>
      <c r="J27" s="32">
        <f t="shared" si="7"/>
        <v>10127.76241107068</v>
      </c>
      <c r="K27" s="32">
        <f t="shared" si="4"/>
        <v>4872.2375889293198</v>
      </c>
    </row>
    <row r="28" spans="1:11" hidden="1" outlineLevel="1">
      <c r="A28" s="8"/>
      <c r="B28" s="14" t="s">
        <v>129</v>
      </c>
      <c r="C28" s="27"/>
      <c r="E28" s="2">
        <v>26</v>
      </c>
      <c r="F28" s="32">
        <f>-PPMT('Données du cas'!$B$10/12,'Bilan, FR, BFR, TR, CAF'!E28,'Données du cas'!$B$11,'Données du cas'!$B$9,0)</f>
        <v>431.96787382868013</v>
      </c>
      <c r="G28" s="32">
        <f>-IPMT('Données du cas'!$B$10/12,'Bilan, FR, BFR, TR, CAF'!E28,'Données du cas'!$B$11,'Données du cas'!$B$9,0)</f>
        <v>24.361187944646591</v>
      </c>
      <c r="H28" s="32">
        <f t="shared" si="6"/>
        <v>456.32906177332671</v>
      </c>
      <c r="I28" s="32">
        <f t="shared" si="3"/>
        <v>1304.8253212071336</v>
      </c>
      <c r="J28" s="32">
        <f t="shared" si="7"/>
        <v>10559.73028489936</v>
      </c>
      <c r="K28" s="32">
        <f t="shared" si="4"/>
        <v>4440.2697151006396</v>
      </c>
    </row>
    <row r="29" spans="1:11" hidden="1" outlineLevel="1">
      <c r="A29" s="8"/>
      <c r="B29" s="14" t="s">
        <v>105</v>
      </c>
      <c r="C29" s="27"/>
      <c r="E29" s="2">
        <v>27</v>
      </c>
      <c r="F29" s="32">
        <f>-PPMT('Données du cas'!$B$10/12,'Bilan, FR, BFR, TR, CAF'!E29,'Données du cas'!$B$11,'Données du cas'!$B$9,0)</f>
        <v>434.12771319782348</v>
      </c>
      <c r="G29" s="32">
        <f>-IPMT('Données du cas'!$B$10/12,'Bilan, FR, BFR, TR, CAF'!E29,'Données du cas'!$B$11,'Données du cas'!$B$9,0)</f>
        <v>22.201348575503193</v>
      </c>
      <c r="H29" s="32">
        <f t="shared" si="6"/>
        <v>456.32906177332666</v>
      </c>
      <c r="I29" s="32">
        <f t="shared" si="3"/>
        <v>1327.0266697826369</v>
      </c>
      <c r="J29" s="32">
        <f t="shared" si="7"/>
        <v>10993.857998097184</v>
      </c>
      <c r="K29" s="32">
        <f t="shared" si="4"/>
        <v>4006.1420019028155</v>
      </c>
    </row>
    <row r="30" spans="1:11" hidden="1" outlineLevel="1">
      <c r="A30" s="8"/>
      <c r="B30" s="14" t="s">
        <v>106</v>
      </c>
      <c r="C30" s="27"/>
      <c r="E30" s="2">
        <v>28</v>
      </c>
      <c r="F30" s="32">
        <f>-PPMT('Données du cas'!$B$10/12,'Bilan, FR, BFR, TR, CAF'!E30,'Données du cas'!$B$11,'Données du cas'!$B$9,0)</f>
        <v>436.2983517638126</v>
      </c>
      <c r="G30" s="32">
        <f>-IPMT('Données du cas'!$B$10/12,'Bilan, FR, BFR, TR, CAF'!E30,'Données du cas'!$B$11,'Données du cas'!$B$9,0)</f>
        <v>20.030710009514074</v>
      </c>
      <c r="H30" s="32">
        <f t="shared" si="6"/>
        <v>456.32906177332666</v>
      </c>
      <c r="I30" s="32">
        <f t="shared" si="3"/>
        <v>1347.0573797921509</v>
      </c>
      <c r="J30" s="32">
        <f t="shared" si="7"/>
        <v>11430.156349860998</v>
      </c>
      <c r="K30" s="32">
        <f t="shared" si="4"/>
        <v>3569.8436501390024</v>
      </c>
    </row>
    <row r="31" spans="1:11" collapsed="1">
      <c r="A31" s="23" t="s">
        <v>107</v>
      </c>
      <c r="B31" s="13" t="s">
        <v>108</v>
      </c>
      <c r="C31" s="27">
        <f>'Données du cas'!B7-'Compte de résultat'!B64</f>
        <v>8000</v>
      </c>
      <c r="E31" s="2">
        <v>29</v>
      </c>
      <c r="F31" s="32">
        <f>-PPMT('Données du cas'!$B$10/12,'Bilan, FR, BFR, TR, CAF'!E31,'Données du cas'!$B$11,'Données du cas'!$B$9,0)</f>
        <v>438.47984352263171</v>
      </c>
      <c r="G31" s="32">
        <f>-IPMT('Données du cas'!$B$10/12,'Bilan, FR, BFR, TR, CAF'!E31,'Données du cas'!$B$11,'Données du cas'!$B$9,0)</f>
        <v>17.849218250695007</v>
      </c>
      <c r="H31" s="32">
        <f t="shared" si="6"/>
        <v>456.32906177332671</v>
      </c>
      <c r="I31" s="32">
        <f t="shared" si="3"/>
        <v>1364.9065980428459</v>
      </c>
      <c r="J31" s="32">
        <f t="shared" si="7"/>
        <v>11868.636193383629</v>
      </c>
      <c r="K31" s="32">
        <f t="shared" si="4"/>
        <v>3131.3638066163712</v>
      </c>
    </row>
    <row r="32" spans="1:11" hidden="1" outlineLevel="1">
      <c r="A32" s="8"/>
      <c r="B32" s="14" t="s">
        <v>109</v>
      </c>
      <c r="C32" s="27"/>
      <c r="E32" s="2">
        <v>30</v>
      </c>
      <c r="F32" s="32">
        <f>-PPMT('Données du cas'!$B$10/12,'Bilan, FR, BFR, TR, CAF'!E32,'Données du cas'!$B$11,'Données du cas'!$B$9,0)</f>
        <v>440.67224274024483</v>
      </c>
      <c r="G32" s="32">
        <f>-IPMT('Données du cas'!$B$10/12,'Bilan, FR, BFR, TR, CAF'!E32,'Données du cas'!$B$11,'Données du cas'!$B$9,0)</f>
        <v>15.656819033081847</v>
      </c>
      <c r="H32" s="32">
        <f t="shared" si="6"/>
        <v>456.32906177332666</v>
      </c>
      <c r="I32" s="32">
        <f t="shared" si="3"/>
        <v>1380.5634170759276</v>
      </c>
      <c r="J32" s="32">
        <f t="shared" si="7"/>
        <v>12309.308436123874</v>
      </c>
      <c r="K32" s="32">
        <f t="shared" si="4"/>
        <v>2690.6915638761257</v>
      </c>
    </row>
    <row r="33" spans="1:17" hidden="1" outlineLevel="1">
      <c r="A33" s="8"/>
      <c r="B33" s="14" t="s">
        <v>110</v>
      </c>
      <c r="C33" s="27"/>
      <c r="E33" s="2">
        <v>31</v>
      </c>
      <c r="F33" s="32">
        <f>-PPMT('Données du cas'!$B$10/12,'Bilan, FR, BFR, TR, CAF'!E33,'Données du cas'!$B$11,'Données du cas'!$B$9,0)</f>
        <v>442.87560395394604</v>
      </c>
      <c r="G33" s="32">
        <f>-IPMT('Données du cas'!$B$10/12,'Bilan, FR, BFR, TR, CAF'!E33,'Données du cas'!$B$11,'Données du cas'!$B$9,0)</f>
        <v>13.453457819380626</v>
      </c>
      <c r="H33" s="32">
        <f t="shared" si="6"/>
        <v>456.32906177332666</v>
      </c>
      <c r="I33" s="32">
        <f t="shared" si="3"/>
        <v>1394.0168748953083</v>
      </c>
      <c r="J33" s="32">
        <f t="shared" si="7"/>
        <v>12752.18404007782</v>
      </c>
      <c r="K33" s="32">
        <f t="shared" si="4"/>
        <v>2247.8159599221799</v>
      </c>
    </row>
    <row r="34" spans="1:17" hidden="1" outlineLevel="1">
      <c r="A34" s="8"/>
      <c r="B34" s="14" t="s">
        <v>111</v>
      </c>
      <c r="C34" s="27"/>
      <c r="E34" s="2">
        <v>32</v>
      </c>
      <c r="F34" s="32">
        <f>-PPMT('Données du cas'!$B$10/12,'Bilan, FR, BFR, TR, CAF'!E34,'Données du cas'!$B$11,'Données du cas'!$B$9,0)</f>
        <v>445.08998197371585</v>
      </c>
      <c r="G34" s="32">
        <f>-IPMT('Données du cas'!$B$10/12,'Bilan, FR, BFR, TR, CAF'!E34,'Données du cas'!$B$11,'Données du cas'!$B$9,0)</f>
        <v>11.239079799610895</v>
      </c>
      <c r="H34" s="32">
        <f t="shared" si="6"/>
        <v>456.32906177332677</v>
      </c>
      <c r="I34" s="32">
        <f t="shared" si="3"/>
        <v>1405.2559546949192</v>
      </c>
      <c r="J34" s="32">
        <f t="shared" si="7"/>
        <v>13197.274022051535</v>
      </c>
      <c r="K34" s="32">
        <f t="shared" si="4"/>
        <v>1802.7259779484648</v>
      </c>
    </row>
    <row r="35" spans="1:17" hidden="1" outlineLevel="1">
      <c r="A35" s="8"/>
      <c r="B35" s="14" t="s">
        <v>106</v>
      </c>
      <c r="C35" s="27"/>
      <c r="E35" s="2">
        <v>33</v>
      </c>
      <c r="F35" s="32">
        <f>-PPMT('Données du cas'!$B$10/12,'Bilan, FR, BFR, TR, CAF'!E35,'Données du cas'!$B$11,'Données du cas'!$B$9,0)</f>
        <v>447.31543188358432</v>
      </c>
      <c r="G35" s="32">
        <f>-IPMT('Données du cas'!$B$10/12,'Bilan, FR, BFR, TR, CAF'!E35,'Données du cas'!$B$11,'Données du cas'!$B$9,0)</f>
        <v>9.0136298897423135</v>
      </c>
      <c r="H35" s="32">
        <f t="shared" si="6"/>
        <v>456.32906177332666</v>
      </c>
      <c r="I35" s="32">
        <f t="shared" si="3"/>
        <v>1414.2695845846615</v>
      </c>
      <c r="J35" s="32">
        <f t="shared" si="7"/>
        <v>13644.589453935119</v>
      </c>
      <c r="K35" s="32">
        <f t="shared" si="4"/>
        <v>1355.4105460648807</v>
      </c>
    </row>
    <row r="36" spans="1:17">
      <c r="A36" s="8"/>
      <c r="B36" s="12"/>
      <c r="C36" s="27"/>
      <c r="E36" s="2">
        <v>34</v>
      </c>
      <c r="F36" s="32">
        <f>-PPMT('Données du cas'!$B$10/12,'Bilan, FR, BFR, TR, CAF'!E36,'Données du cas'!$B$11,'Données du cas'!$B$9,0)</f>
        <v>449.55200904300233</v>
      </c>
      <c r="G36" s="32">
        <f>-IPMT('Données du cas'!$B$10/12,'Bilan, FR, BFR, TR, CAF'!E36,'Données du cas'!$B$11,'Données du cas'!$B$9,0)</f>
        <v>6.7770527303243924</v>
      </c>
      <c r="H36" s="32">
        <f t="shared" si="6"/>
        <v>456.32906177332671</v>
      </c>
      <c r="I36" s="32">
        <f t="shared" si="3"/>
        <v>1421.0466373149859</v>
      </c>
      <c r="J36" s="32">
        <f t="shared" si="7"/>
        <v>14094.141462978121</v>
      </c>
      <c r="K36" s="32">
        <f t="shared" si="4"/>
        <v>905.85853702187887</v>
      </c>
    </row>
    <row r="37" spans="1:17">
      <c r="A37" s="23" t="s">
        <v>112</v>
      </c>
      <c r="B37" s="12" t="s">
        <v>113</v>
      </c>
      <c r="C37" s="30">
        <f>C38+C43+C44</f>
        <v>59682</v>
      </c>
    </row>
    <row r="38" spans="1:17" collapsed="1">
      <c r="A38" s="23" t="s">
        <v>114</v>
      </c>
      <c r="B38" s="12" t="s">
        <v>115</v>
      </c>
      <c r="C38" s="27">
        <v>0</v>
      </c>
    </row>
    <row r="39" spans="1:17" hidden="1" outlineLevel="1">
      <c r="A39" s="23" t="s">
        <v>116</v>
      </c>
      <c r="B39" s="14" t="s">
        <v>117</v>
      </c>
      <c r="C39" s="27"/>
      <c r="K39" s="32">
        <f t="shared" ref="K39:K42" si="8">$K$3-J39</f>
        <v>15000</v>
      </c>
      <c r="O39" s="32">
        <f>I36+M39</f>
        <v>1421.0466373149859</v>
      </c>
      <c r="P39" s="2"/>
      <c r="Q39" s="32">
        <f>$K$3-P39</f>
        <v>15000</v>
      </c>
    </row>
    <row r="40" spans="1:17" hidden="1" outlineLevel="1">
      <c r="A40" s="23" t="s">
        <v>118</v>
      </c>
      <c r="B40" s="17" t="s">
        <v>130</v>
      </c>
      <c r="C40" s="27"/>
      <c r="K40" s="32">
        <f t="shared" si="8"/>
        <v>15000</v>
      </c>
      <c r="O40" s="32">
        <f t="shared" ref="O40:O42" si="9">O39+M40</f>
        <v>1421.0466373149859</v>
      </c>
      <c r="P40" s="2"/>
      <c r="Q40" s="32">
        <f>$K$3-P40</f>
        <v>15000</v>
      </c>
    </row>
    <row r="41" spans="1:17" hidden="1" outlineLevel="1">
      <c r="A41" s="23" t="s">
        <v>119</v>
      </c>
      <c r="B41" s="17" t="s">
        <v>120</v>
      </c>
      <c r="C41" s="27"/>
      <c r="K41" s="32">
        <f t="shared" si="8"/>
        <v>15000</v>
      </c>
      <c r="O41" s="32">
        <f t="shared" si="9"/>
        <v>1421.0466373149859</v>
      </c>
      <c r="P41" s="2"/>
      <c r="Q41" s="32">
        <f>$K$3-P41</f>
        <v>15000</v>
      </c>
    </row>
    <row r="42" spans="1:17" hidden="1" outlineLevel="1">
      <c r="A42" s="23" t="s">
        <v>121</v>
      </c>
      <c r="B42" s="14" t="s">
        <v>122</v>
      </c>
      <c r="C42" s="27"/>
      <c r="K42" s="32">
        <f t="shared" si="8"/>
        <v>15000</v>
      </c>
      <c r="O42" s="32">
        <f t="shared" si="9"/>
        <v>1421.0466373149859</v>
      </c>
      <c r="P42" s="2"/>
      <c r="Q42" s="32">
        <f>$K$3-P42</f>
        <v>15000</v>
      </c>
    </row>
    <row r="43" spans="1:17">
      <c r="A43" s="23" t="s">
        <v>123</v>
      </c>
      <c r="B43" s="13" t="s">
        <v>124</v>
      </c>
      <c r="C43" s="27">
        <f>IF('Données du cas'!$B$24=0,0,IF('Données du cas'!$B$24=30,'Plan de trésorerie'!M12,IF('Données du cas'!$B$24=60,'Plan de trésorerie'!L12+'Plan de trésorerie'!M12,IF('Données du cas'!$B$24=90,'Plan de trésorerie'!K12+'Plan de trésorerie'!L12+'Plan de trésorerie'!M12))))</f>
        <v>59220</v>
      </c>
      <c r="K43" s="2"/>
      <c r="P43" s="2"/>
      <c r="Q43" s="2"/>
    </row>
    <row r="44" spans="1:17">
      <c r="A44" s="23" t="s">
        <v>125</v>
      </c>
      <c r="B44" s="13" t="s">
        <v>179</v>
      </c>
      <c r="C44" s="27">
        <f>'Plan de TVA'!M19</f>
        <v>462</v>
      </c>
      <c r="O44" s="2"/>
      <c r="P44" s="2"/>
    </row>
    <row r="45" spans="1:17">
      <c r="A45" s="8"/>
      <c r="B45" s="3"/>
      <c r="C45" s="27"/>
      <c r="O45" s="2"/>
      <c r="P45" s="2"/>
    </row>
    <row r="46" spans="1:17">
      <c r="A46" s="23" t="s">
        <v>126</v>
      </c>
      <c r="B46" s="12" t="s">
        <v>127</v>
      </c>
      <c r="C46" s="30">
        <f>IF('Plan de trésorerie'!N3&gt;0,'Plan de trésorerie'!N3,0)</f>
        <v>39362.804762915817</v>
      </c>
      <c r="O46" s="2"/>
      <c r="P46" s="2"/>
    </row>
    <row r="47" spans="1:17">
      <c r="A47" s="8"/>
      <c r="B47" s="3"/>
      <c r="C47" s="27"/>
      <c r="O47" s="2"/>
      <c r="P47" s="51"/>
    </row>
    <row r="48" spans="1:17" ht="15" thickBot="1">
      <c r="A48" s="25"/>
      <c r="B48" s="16" t="s">
        <v>128</v>
      </c>
      <c r="C48" s="34">
        <f>C24+C37+C46</f>
        <v>107044.80476291582</v>
      </c>
      <c r="O48" s="2"/>
      <c r="P48" s="2"/>
    </row>
    <row r="49" spans="1:16" ht="15" thickBot="1">
      <c r="O49" s="2"/>
      <c r="P49" s="2"/>
    </row>
    <row r="50" spans="1:16" ht="31" customHeight="1" thickTop="1">
      <c r="A50" s="1" t="s">
        <v>140</v>
      </c>
      <c r="B50" s="133" t="s">
        <v>207</v>
      </c>
      <c r="C50" s="134">
        <f>C3+C9+C6-C24</f>
        <v>63304.567033242463</v>
      </c>
      <c r="D50" s="135" t="s">
        <v>206</v>
      </c>
      <c r="O50" s="2"/>
      <c r="P50" s="2"/>
    </row>
    <row r="51" spans="1:16" ht="29" customHeight="1">
      <c r="A51" s="1" t="s">
        <v>141</v>
      </c>
      <c r="B51" s="75" t="s">
        <v>142</v>
      </c>
      <c r="C51" s="132">
        <f>C38+C43+C44-C10</f>
        <v>23941.762270326632</v>
      </c>
      <c r="D51" s="123" t="s">
        <v>205</v>
      </c>
      <c r="E51" s="29"/>
      <c r="O51" s="2"/>
      <c r="P51" s="2"/>
    </row>
    <row r="52" spans="1:16">
      <c r="A52" t="s">
        <v>147</v>
      </c>
      <c r="B52" s="84" t="s">
        <v>143</v>
      </c>
      <c r="C52" s="95">
        <f>C50-C51</f>
        <v>39362.804762915832</v>
      </c>
      <c r="D52" s="77" t="s">
        <v>204</v>
      </c>
      <c r="N52" s="29"/>
      <c r="O52" s="2"/>
      <c r="P52" s="2"/>
    </row>
    <row r="53" spans="1:16">
      <c r="A53" t="s">
        <v>145</v>
      </c>
      <c r="B53" s="84" t="s">
        <v>146</v>
      </c>
      <c r="C53" s="43">
        <f>C6+'Compte de résultat'!B64-'Bilan, FR, BFR, TR, CAF'!C16</f>
        <v>35008.475459346744</v>
      </c>
      <c r="D53" s="77" t="s">
        <v>229</v>
      </c>
    </row>
    <row r="54" spans="1:16">
      <c r="A54" t="s">
        <v>230</v>
      </c>
      <c r="B54" s="84" t="s">
        <v>239</v>
      </c>
      <c r="C54" s="96">
        <f>'Compte de résultat'!B84/'Bilan, FR, BFR, TR, CAF'!C48</f>
        <v>0.28967753762571385</v>
      </c>
      <c r="D54" s="77"/>
    </row>
    <row r="55" spans="1:16">
      <c r="A55" t="s">
        <v>231</v>
      </c>
      <c r="B55" s="84" t="s">
        <v>232</v>
      </c>
      <c r="C55" s="97">
        <f>'Compte de résultat'!B9/'Bilan, FR, BFR, TR, CAF'!C48</f>
        <v>3.0427445845820036</v>
      </c>
      <c r="D55" s="77"/>
    </row>
    <row r="56" spans="1:16">
      <c r="A56" t="s">
        <v>233</v>
      </c>
      <c r="B56" s="84" t="s">
        <v>234</v>
      </c>
      <c r="C56" s="98">
        <f>'Compte de résultat'!B84/'Compte de résultat'!B5</f>
        <v>9.5202712410876994E-2</v>
      </c>
      <c r="D56" s="77"/>
    </row>
    <row r="57" spans="1:16">
      <c r="A57" t="s">
        <v>235</v>
      </c>
      <c r="B57" s="84" t="s">
        <v>236</v>
      </c>
      <c r="C57" s="97">
        <f>C48/(C3+C6)</f>
        <v>1.7545890789263465</v>
      </c>
      <c r="D57" s="86"/>
    </row>
    <row r="58" spans="1:16" ht="15" thickBot="1">
      <c r="A58" t="s">
        <v>237</v>
      </c>
      <c r="B58" s="87" t="s">
        <v>238</v>
      </c>
      <c r="C58" s="99">
        <f>'Compte de résultat'!B84/('Bilan, FR, BFR, TR, CAF'!C3+'Bilan, FR, BFR, TR, CAF'!C6)</f>
        <v>0.50826504392835337</v>
      </c>
      <c r="D58" s="83"/>
    </row>
    <row r="59" spans="1:16" ht="15" thickTop="1"/>
  </sheetData>
  <mergeCells count="1">
    <mergeCell ref="E1:K1"/>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150" zoomScaleNormal="150" zoomScalePageLayoutView="150" workbookViewId="0">
      <selection activeCell="E6" sqref="E6"/>
    </sheetView>
  </sheetViews>
  <sheetFormatPr baseColWidth="10" defaultRowHeight="14" x14ac:dyDescent="0"/>
  <cols>
    <col min="1" max="1" width="47.1640625" bestFit="1" customWidth="1"/>
    <col min="2" max="2" width="9.5" bestFit="1" customWidth="1"/>
    <col min="3" max="3" width="7.6640625" customWidth="1"/>
    <col min="4" max="4" width="8.33203125" customWidth="1"/>
    <col min="5" max="5" width="8.6640625" customWidth="1"/>
    <col min="6" max="13" width="8.6640625" bestFit="1" customWidth="1"/>
  </cols>
  <sheetData>
    <row r="1" spans="1:18" ht="15" thickBot="1">
      <c r="A1" s="198" t="s">
        <v>180</v>
      </c>
      <c r="B1" s="198"/>
      <c r="C1" s="198"/>
      <c r="D1" s="198"/>
      <c r="E1" s="198"/>
      <c r="F1" s="198"/>
      <c r="G1" s="198"/>
      <c r="H1" s="198"/>
      <c r="I1" s="198"/>
      <c r="J1" s="198"/>
      <c r="K1" s="198"/>
      <c r="L1" s="198"/>
      <c r="M1" s="199"/>
      <c r="N1" s="2" t="s">
        <v>244</v>
      </c>
    </row>
    <row r="2" spans="1:18">
      <c r="A2" s="35" t="s">
        <v>181</v>
      </c>
      <c r="B2" s="36" t="s">
        <v>148</v>
      </c>
      <c r="C2" s="36" t="s">
        <v>160</v>
      </c>
      <c r="D2" s="36" t="s">
        <v>149</v>
      </c>
      <c r="E2" s="36" t="s">
        <v>150</v>
      </c>
      <c r="F2" s="36" t="s">
        <v>151</v>
      </c>
      <c r="G2" s="36" t="s">
        <v>152</v>
      </c>
      <c r="H2" s="36" t="s">
        <v>153</v>
      </c>
      <c r="I2" s="36" t="s">
        <v>154</v>
      </c>
      <c r="J2" s="36" t="s">
        <v>155</v>
      </c>
      <c r="K2" s="36" t="s">
        <v>156</v>
      </c>
      <c r="L2" s="36" t="s">
        <v>157</v>
      </c>
      <c r="M2" s="36" t="s">
        <v>158</v>
      </c>
    </row>
    <row r="3" spans="1:18">
      <c r="A3" s="37" t="s">
        <v>277</v>
      </c>
      <c r="B3" s="38">
        <f>'CA et CV'!C12</f>
        <v>0</v>
      </c>
      <c r="C3" s="38">
        <f>'CA et CV'!D12</f>
        <v>0</v>
      </c>
      <c r="D3" s="38">
        <f>'CA et CV'!E12</f>
        <v>9870</v>
      </c>
      <c r="E3" s="38">
        <f>'CA et CV'!F12</f>
        <v>19740</v>
      </c>
      <c r="F3" s="38">
        <f>'CA et CV'!G12</f>
        <v>19740</v>
      </c>
      <c r="G3" s="38">
        <f>'CA et CV'!H12</f>
        <v>29610</v>
      </c>
      <c r="H3" s="38">
        <f>'CA et CV'!I12</f>
        <v>29610</v>
      </c>
      <c r="I3" s="38">
        <f>'CA et CV'!J12</f>
        <v>39480</v>
      </c>
      <c r="J3" s="38">
        <f>'CA et CV'!K12</f>
        <v>39480</v>
      </c>
      <c r="K3" s="38">
        <f>'CA et CV'!L12</f>
        <v>39480</v>
      </c>
      <c r="L3" s="38">
        <f>'CA et CV'!M12</f>
        <v>49350</v>
      </c>
      <c r="M3" s="38">
        <f>'CA et CV'!N12</f>
        <v>49350</v>
      </c>
      <c r="N3" s="29">
        <f>SUM(B3:M3)</f>
        <v>325710</v>
      </c>
    </row>
    <row r="4" spans="1:18">
      <c r="A4" s="37" t="s">
        <v>182</v>
      </c>
      <c r="B4" s="38">
        <f>B3*'Données du cas'!$B$29</f>
        <v>0</v>
      </c>
      <c r="C4" s="38">
        <f>C3*'Données du cas'!$B$29</f>
        <v>0</v>
      </c>
      <c r="D4" s="38">
        <f>D3*'Données du cas'!$B$29</f>
        <v>1974</v>
      </c>
      <c r="E4" s="38">
        <f>E3*'Données du cas'!$B$29</f>
        <v>3948</v>
      </c>
      <c r="F4" s="38">
        <f>F3*'Données du cas'!$B$29</f>
        <v>3948</v>
      </c>
      <c r="G4" s="38">
        <f>G3*'Données du cas'!$B$29</f>
        <v>5922</v>
      </c>
      <c r="H4" s="38">
        <f>H3*'Données du cas'!$B$29</f>
        <v>5922</v>
      </c>
      <c r="I4" s="38">
        <f>I3*'Données du cas'!$B$29</f>
        <v>7896</v>
      </c>
      <c r="J4" s="38">
        <f>J3*'Données du cas'!$B$29</f>
        <v>7896</v>
      </c>
      <c r="K4" s="38">
        <f>K3*'Données du cas'!$B$29</f>
        <v>7896</v>
      </c>
      <c r="L4" s="38">
        <f>L3*'Données du cas'!$B$29</f>
        <v>9870</v>
      </c>
      <c r="M4" s="38">
        <f>M3*'Données du cas'!$B$29</f>
        <v>9870</v>
      </c>
    </row>
    <row r="5" spans="1:18">
      <c r="A5" s="37" t="s">
        <v>183</v>
      </c>
      <c r="B5" s="38">
        <f>B4</f>
        <v>0</v>
      </c>
      <c r="C5" s="38">
        <f>C4+B5</f>
        <v>0</v>
      </c>
      <c r="D5" s="38">
        <f t="shared" ref="D5:M5" si="0">D4+C5</f>
        <v>1974</v>
      </c>
      <c r="E5" s="38">
        <f t="shared" si="0"/>
        <v>5922</v>
      </c>
      <c r="F5" s="38">
        <f t="shared" si="0"/>
        <v>9870</v>
      </c>
      <c r="G5" s="38">
        <f t="shared" si="0"/>
        <v>15792</v>
      </c>
      <c r="H5" s="38">
        <f t="shared" si="0"/>
        <v>21714</v>
      </c>
      <c r="I5" s="38">
        <f t="shared" si="0"/>
        <v>29610</v>
      </c>
      <c r="J5" s="38">
        <f t="shared" si="0"/>
        <v>37506</v>
      </c>
      <c r="K5" s="38">
        <f t="shared" si="0"/>
        <v>45402</v>
      </c>
      <c r="L5" s="38">
        <f t="shared" si="0"/>
        <v>55272</v>
      </c>
      <c r="M5" s="38">
        <f t="shared" si="0"/>
        <v>65142</v>
      </c>
    </row>
    <row r="6" spans="1:18">
      <c r="A6" s="37" t="s">
        <v>184</v>
      </c>
      <c r="B6" s="43">
        <v>0</v>
      </c>
      <c r="C6" s="43">
        <f>IF('Données du cas'!$B$24=0,C3+C4,IF('Données du cas'!$B$24=30,B3+B4,IF('Données du cas'!$B$24=60,A3+A4,IF('Données du cas'!$B$24=90,#REF!+#REF!,0))))</f>
        <v>0</v>
      </c>
      <c r="D6" s="43">
        <f>IF('Données du cas'!$B$24=0,D3+D4,IF('Données du cas'!$B$24=30,C3+C4,IF('Données du cas'!$B$24=60,B3+B4,IF('Données du cas'!$B$24=90,A3+A4,0))))</f>
        <v>0</v>
      </c>
      <c r="E6" s="43">
        <f>IF('Données du cas'!$B$24=0,E3+E4,IF('Données du cas'!$B$24=30,D3+D4,IF('Données du cas'!$B$24=60,C3+C4,IF('Données du cas'!$B$24=90,B3+B4,0))))</f>
        <v>11844</v>
      </c>
      <c r="F6" s="43">
        <f>IF('Données du cas'!$B$24=0,F3+F4,IF('Données du cas'!$B$24=30,E3+E4,IF('Données du cas'!$B$24=60,D3+D4,IF('Données du cas'!$B$24=90,C3+C4,0))))</f>
        <v>23688</v>
      </c>
      <c r="G6" s="43">
        <f>IF('Données du cas'!$B$24=0,G3+G4,IF('Données du cas'!$B$24=30,F3+F4,IF('Données du cas'!$B$24=60,E3+E4,IF('Données du cas'!$B$24=90,D3+D4,0))))</f>
        <v>23688</v>
      </c>
      <c r="H6" s="43">
        <f>IF('Données du cas'!$B$24=0,H3+H4,IF('Données du cas'!$B$24=30,G3+G4,IF('Données du cas'!$B$24=60,F3+F4,IF('Données du cas'!$B$24=90,E3+E4,0))))</f>
        <v>35532</v>
      </c>
      <c r="I6" s="43">
        <f>IF('Données du cas'!$B$24=0,I3+I4,IF('Données du cas'!$B$24=30,H3+H4,IF('Données du cas'!$B$24=60,G3+G4,IF('Données du cas'!$B$24=90,F3+F4,0))))</f>
        <v>35532</v>
      </c>
      <c r="J6" s="43">
        <f>IF('Données du cas'!$B$24=0,J3+J4,IF('Données du cas'!$B$24=30,I3+I4,IF('Données du cas'!$B$24=60,H3+H4,IF('Données du cas'!$B$24=90,G3+G4,0))))</f>
        <v>47376</v>
      </c>
      <c r="K6" s="43">
        <f>IF('Données du cas'!$B$24=0,K3+K4,IF('Données du cas'!$B$24=30,J3+J4,IF('Données du cas'!$B$24=60,I3+I4,IF('Données du cas'!$B$24=90,H3+H4,0))))</f>
        <v>47376</v>
      </c>
      <c r="L6" s="43">
        <f>IF('Données du cas'!$B$24=0,L3+L4,IF('Données du cas'!$B$24=30,K3+K4,IF('Données du cas'!$B$24=60,J3+J4,IF('Données du cas'!$B$24=90,I3+I4,0))))</f>
        <v>47376</v>
      </c>
      <c r="M6" s="43">
        <f>IF('Données du cas'!$B$24=0,M3+M4,IF('Données du cas'!$B$24=30,L3+L4,IF('Données du cas'!$B$24=60,K3+K4,IF('Données du cas'!$B$24=90,J3+J4,0))))</f>
        <v>59220</v>
      </c>
      <c r="N6" s="29"/>
      <c r="O6" s="29"/>
    </row>
    <row r="7" spans="1:18">
      <c r="A7" s="37" t="s">
        <v>195</v>
      </c>
      <c r="B7" s="38"/>
      <c r="C7" s="74">
        <f>B4</f>
        <v>0</v>
      </c>
      <c r="D7" s="74">
        <f t="shared" ref="D7:M7" si="1">C4</f>
        <v>0</v>
      </c>
      <c r="E7" s="74">
        <f t="shared" si="1"/>
        <v>1974</v>
      </c>
      <c r="F7" s="74">
        <f t="shared" si="1"/>
        <v>3948</v>
      </c>
      <c r="G7" s="74">
        <f t="shared" si="1"/>
        <v>3948</v>
      </c>
      <c r="H7" s="74">
        <f t="shared" si="1"/>
        <v>5922</v>
      </c>
      <c r="I7" s="74">
        <f t="shared" si="1"/>
        <v>5922</v>
      </c>
      <c r="J7" s="74">
        <f t="shared" si="1"/>
        <v>7896</v>
      </c>
      <c r="K7" s="74">
        <f t="shared" si="1"/>
        <v>7896</v>
      </c>
      <c r="L7" s="74">
        <f t="shared" si="1"/>
        <v>7896</v>
      </c>
      <c r="M7" s="74">
        <f t="shared" si="1"/>
        <v>9870</v>
      </c>
    </row>
    <row r="8" spans="1:18" ht="15" thickBot="1">
      <c r="A8" s="40" t="s">
        <v>185</v>
      </c>
      <c r="B8" s="38"/>
      <c r="C8" s="38">
        <f>C7</f>
        <v>0</v>
      </c>
      <c r="D8" s="38">
        <f t="shared" ref="D8:M8" si="2">D7+C8</f>
        <v>0</v>
      </c>
      <c r="E8" s="38">
        <f t="shared" si="2"/>
        <v>1974</v>
      </c>
      <c r="F8" s="38">
        <f t="shared" si="2"/>
        <v>5922</v>
      </c>
      <c r="G8" s="38">
        <f t="shared" si="2"/>
        <v>9870</v>
      </c>
      <c r="H8" s="38">
        <f t="shared" si="2"/>
        <v>15792</v>
      </c>
      <c r="I8" s="38">
        <f t="shared" si="2"/>
        <v>21714</v>
      </c>
      <c r="J8" s="38">
        <f t="shared" si="2"/>
        <v>29610</v>
      </c>
      <c r="K8" s="38">
        <f t="shared" si="2"/>
        <v>37506</v>
      </c>
      <c r="L8" s="38">
        <f t="shared" si="2"/>
        <v>45402</v>
      </c>
      <c r="M8" s="38">
        <f t="shared" si="2"/>
        <v>55272</v>
      </c>
    </row>
    <row r="9" spans="1:18" ht="15" thickBot="1">
      <c r="A9" s="42" t="s">
        <v>186</v>
      </c>
      <c r="B9" s="43"/>
      <c r="C9" s="43"/>
      <c r="D9" s="43"/>
      <c r="E9" s="43"/>
      <c r="F9" s="43"/>
      <c r="G9" s="43"/>
      <c r="H9" s="43"/>
      <c r="I9" s="43"/>
      <c r="J9" s="43"/>
      <c r="K9" s="43"/>
      <c r="L9" s="44"/>
      <c r="M9" s="45">
        <f>M5-M8</f>
        <v>9870</v>
      </c>
    </row>
    <row r="10" spans="1:18" ht="15" thickBot="1">
      <c r="A10" s="46"/>
      <c r="R10" s="29"/>
    </row>
    <row r="11" spans="1:18">
      <c r="A11" s="47" t="s">
        <v>187</v>
      </c>
      <c r="B11" s="36" t="s">
        <v>148</v>
      </c>
      <c r="C11" s="36" t="s">
        <v>160</v>
      </c>
      <c r="D11" s="36" t="s">
        <v>149</v>
      </c>
      <c r="E11" s="36" t="s">
        <v>150</v>
      </c>
      <c r="F11" s="36" t="s">
        <v>151</v>
      </c>
      <c r="G11" s="36" t="s">
        <v>152</v>
      </c>
      <c r="H11" s="36" t="s">
        <v>153</v>
      </c>
      <c r="I11" s="36" t="s">
        <v>154</v>
      </c>
      <c r="J11" s="36" t="s">
        <v>155</v>
      </c>
      <c r="K11" s="36" t="s">
        <v>156</v>
      </c>
      <c r="L11" s="36" t="s">
        <v>157</v>
      </c>
      <c r="M11" s="36" t="s">
        <v>158</v>
      </c>
    </row>
    <row r="12" spans="1:18">
      <c r="A12" s="37" t="s">
        <v>188</v>
      </c>
      <c r="B12" s="39">
        <f>'Plan de trésorerie'!B6</f>
        <v>2772</v>
      </c>
      <c r="C12" s="39">
        <f>'Plan de trésorerie'!C6</f>
        <v>2772</v>
      </c>
      <c r="D12" s="39">
        <f>'Plan de trésorerie'!D6</f>
        <v>2772</v>
      </c>
      <c r="E12" s="39">
        <f>'Plan de trésorerie'!E6</f>
        <v>2772</v>
      </c>
      <c r="F12" s="39">
        <f>'Plan de trésorerie'!F6</f>
        <v>2772</v>
      </c>
      <c r="G12" s="39">
        <f>'Plan de trésorerie'!G6</f>
        <v>2772</v>
      </c>
      <c r="H12" s="39">
        <f>'Plan de trésorerie'!H6</f>
        <v>2772</v>
      </c>
      <c r="I12" s="39">
        <f>'Plan de trésorerie'!I6</f>
        <v>2772</v>
      </c>
      <c r="J12" s="39">
        <f>'Plan de trésorerie'!J6</f>
        <v>2772</v>
      </c>
      <c r="K12" s="39">
        <f>'Plan de trésorerie'!K6</f>
        <v>2772</v>
      </c>
      <c r="L12" s="39">
        <f>'Plan de trésorerie'!L6</f>
        <v>2772</v>
      </c>
      <c r="M12" s="39">
        <f>'Plan de trésorerie'!M6</f>
        <v>2772</v>
      </c>
    </row>
    <row r="13" spans="1:18">
      <c r="A13" s="37" t="s">
        <v>254</v>
      </c>
      <c r="B13" s="39">
        <v>0</v>
      </c>
      <c r="C13" s="39">
        <v>0</v>
      </c>
      <c r="D13" s="39">
        <v>0</v>
      </c>
      <c r="E13" s="39">
        <v>0</v>
      </c>
      <c r="F13" s="39">
        <v>0</v>
      </c>
      <c r="G13" s="39">
        <v>0</v>
      </c>
      <c r="H13" s="39">
        <v>0</v>
      </c>
      <c r="I13" s="39">
        <v>0</v>
      </c>
      <c r="J13" s="39">
        <v>0</v>
      </c>
      <c r="K13" s="39">
        <v>0</v>
      </c>
      <c r="L13" s="39">
        <v>0</v>
      </c>
      <c r="M13" s="39">
        <v>0</v>
      </c>
      <c r="O13" s="29"/>
    </row>
    <row r="14" spans="1:18">
      <c r="A14" s="37" t="s">
        <v>189</v>
      </c>
      <c r="B14" s="39">
        <f>'Données du cas'!B7*(1+'Données du cas'!B29)</f>
        <v>14400</v>
      </c>
      <c r="C14" s="39"/>
      <c r="D14" s="39"/>
      <c r="E14" s="39"/>
      <c r="F14" s="39"/>
      <c r="G14" s="39"/>
      <c r="H14" s="39"/>
      <c r="I14" s="39"/>
      <c r="J14" s="39"/>
      <c r="K14" s="39"/>
      <c r="L14" s="39"/>
      <c r="M14" s="39"/>
    </row>
    <row r="15" spans="1:18">
      <c r="A15" s="37" t="s">
        <v>190</v>
      </c>
      <c r="B15" s="38">
        <f>(B14+B13+B12)/(1+'Données du cas'!$B$29)</f>
        <v>14310</v>
      </c>
      <c r="C15" s="38">
        <f>(C14+C13+C12)/(1+'Données du cas'!$B$29)</f>
        <v>2310</v>
      </c>
      <c r="D15" s="38">
        <f>D13+D12/(1+'Données du cas'!$B$29)</f>
        <v>2310</v>
      </c>
      <c r="E15" s="38">
        <f>E13+E12/(1+'Données du cas'!$B$29)</f>
        <v>2310</v>
      </c>
      <c r="F15" s="38">
        <f>F13+F12/(1+'Données du cas'!$B$29)</f>
        <v>2310</v>
      </c>
      <c r="G15" s="38">
        <f>G13+G12/(1+'Données du cas'!$B$29)</f>
        <v>2310</v>
      </c>
      <c r="H15" s="38">
        <f>H13+H12/(1+'Données du cas'!$B$29)</f>
        <v>2310</v>
      </c>
      <c r="I15" s="38">
        <f>I13+I12/(1+'Données du cas'!$B$29)</f>
        <v>2310</v>
      </c>
      <c r="J15" s="38">
        <f>J13+J12/(1+'Données du cas'!$B$29)</f>
        <v>2310</v>
      </c>
      <c r="K15" s="38">
        <f>K13+K12/(1+'Données du cas'!$B$29)</f>
        <v>2310</v>
      </c>
      <c r="L15" s="38">
        <f>L13+L12/(1+'Données du cas'!$B$29)</f>
        <v>2310</v>
      </c>
      <c r="M15" s="38">
        <f>M13+M12/(1+'Données du cas'!$B$29)</f>
        <v>2310</v>
      </c>
    </row>
    <row r="16" spans="1:18">
      <c r="A16" s="37" t="s">
        <v>191</v>
      </c>
      <c r="B16" s="38">
        <f>B15*(1+'Données du cas'!$B$29)-B15</f>
        <v>2862</v>
      </c>
      <c r="C16" s="38">
        <f>C12-C12/(1+'Données du cas'!$B$29)</f>
        <v>462</v>
      </c>
      <c r="D16" s="38">
        <f>D12-D12/(1+'Données du cas'!$B$29)</f>
        <v>462</v>
      </c>
      <c r="E16" s="38">
        <f>E12-E12/(1+'Données du cas'!$B$29)</f>
        <v>462</v>
      </c>
      <c r="F16" s="38">
        <f>F12-F12/(1+'Données du cas'!$B$29)</f>
        <v>462</v>
      </c>
      <c r="G16" s="38">
        <f>G12-G12/(1+'Données du cas'!$B$29)</f>
        <v>462</v>
      </c>
      <c r="H16" s="38">
        <f>H12-H12/(1+'Données du cas'!$B$29)</f>
        <v>462</v>
      </c>
      <c r="I16" s="38">
        <f>I12-I12/(1+'Données du cas'!$B$29)</f>
        <v>462</v>
      </c>
      <c r="J16" s="38">
        <f>J12-J12/(1+'Données du cas'!$B$29)</f>
        <v>462</v>
      </c>
      <c r="K16" s="38">
        <f>K12-K12/(1+'Données du cas'!$B$29)</f>
        <v>462</v>
      </c>
      <c r="L16" s="38">
        <f>L12-L12/(1+'Données du cas'!$B$29)</f>
        <v>462</v>
      </c>
      <c r="M16" s="38">
        <f>M12-M12/(1+'Données du cas'!$B$29)</f>
        <v>462</v>
      </c>
    </row>
    <row r="17" spans="1:15">
      <c r="A17" s="37" t="s">
        <v>192</v>
      </c>
      <c r="B17" s="38"/>
      <c r="C17" s="74">
        <f>B16</f>
        <v>2862</v>
      </c>
      <c r="D17" s="74">
        <f t="shared" ref="D17:M17" si="3">C16</f>
        <v>462</v>
      </c>
      <c r="E17" s="74">
        <f t="shared" si="3"/>
        <v>462</v>
      </c>
      <c r="F17" s="74">
        <f t="shared" si="3"/>
        <v>462</v>
      </c>
      <c r="G17" s="74">
        <f t="shared" si="3"/>
        <v>462</v>
      </c>
      <c r="H17" s="74">
        <f t="shared" si="3"/>
        <v>462</v>
      </c>
      <c r="I17" s="74">
        <f t="shared" si="3"/>
        <v>462</v>
      </c>
      <c r="J17" s="74">
        <f t="shared" si="3"/>
        <v>462</v>
      </c>
      <c r="K17" s="74">
        <f t="shared" si="3"/>
        <v>462</v>
      </c>
      <c r="L17" s="74">
        <f t="shared" si="3"/>
        <v>462</v>
      </c>
      <c r="M17" s="74">
        <f t="shared" si="3"/>
        <v>462</v>
      </c>
    </row>
    <row r="18" spans="1:15" ht="15" thickBot="1">
      <c r="A18" s="37" t="s">
        <v>193</v>
      </c>
      <c r="B18" s="38"/>
      <c r="C18" s="38">
        <f>B16</f>
        <v>2862</v>
      </c>
      <c r="D18" s="38">
        <f>C18+C16</f>
        <v>3324</v>
      </c>
      <c r="E18" s="38">
        <f t="shared" ref="E18:M18" si="4">D18+D16</f>
        <v>3786</v>
      </c>
      <c r="F18" s="38">
        <f t="shared" si="4"/>
        <v>4248</v>
      </c>
      <c r="G18" s="38">
        <f t="shared" si="4"/>
        <v>4710</v>
      </c>
      <c r="H18" s="38">
        <f t="shared" si="4"/>
        <v>5172</v>
      </c>
      <c r="I18" s="38">
        <f t="shared" si="4"/>
        <v>5634</v>
      </c>
      <c r="J18" s="38">
        <f t="shared" si="4"/>
        <v>6096</v>
      </c>
      <c r="K18" s="38">
        <f t="shared" si="4"/>
        <v>6558</v>
      </c>
      <c r="L18" s="38">
        <f t="shared" si="4"/>
        <v>7020</v>
      </c>
      <c r="M18" s="41">
        <f t="shared" si="4"/>
        <v>7482</v>
      </c>
    </row>
    <row r="19" spans="1:15" ht="15" thickBot="1">
      <c r="A19" s="42" t="s">
        <v>194</v>
      </c>
      <c r="B19" s="43"/>
      <c r="C19" s="43"/>
      <c r="D19" s="43"/>
      <c r="E19" s="43"/>
      <c r="F19" s="43"/>
      <c r="G19" s="43"/>
      <c r="H19" s="43"/>
      <c r="I19" s="43"/>
      <c r="J19" s="43"/>
      <c r="K19" s="43"/>
      <c r="L19" s="44"/>
      <c r="M19" s="45">
        <f>IF(M8-M18&lt;0,-(M8-M18)+M16,M16)</f>
        <v>462</v>
      </c>
    </row>
    <row r="20" spans="1:15">
      <c r="A20" s="8"/>
      <c r="B20" s="43"/>
      <c r="C20" s="43"/>
      <c r="D20" s="43"/>
      <c r="E20" s="43"/>
      <c r="F20" s="43"/>
      <c r="G20" s="43"/>
      <c r="H20" s="43"/>
      <c r="I20" s="43"/>
      <c r="J20" s="43"/>
      <c r="K20" s="43"/>
      <c r="L20" s="43"/>
      <c r="M20" s="48"/>
    </row>
    <row r="21" spans="1:15" ht="15" thickBot="1">
      <c r="A21" s="49" t="s">
        <v>332</v>
      </c>
      <c r="B21" s="50"/>
      <c r="C21" s="50">
        <f>IF(C8&gt;C18,C8-C18-SUM($B$21:B21),0)</f>
        <v>0</v>
      </c>
      <c r="D21" s="50">
        <f>IF(D8&gt;D18,D8-D18-SUM($B$21:C21),0)</f>
        <v>0</v>
      </c>
      <c r="E21" s="50">
        <f>IF(E8&gt;E18,E8-E18-SUM($B$21:D21),0)</f>
        <v>0</v>
      </c>
      <c r="F21" s="50">
        <f>IF(F8&gt;F18,F8-F18-SUM($B$21:E21),0)</f>
        <v>1674</v>
      </c>
      <c r="G21" s="50">
        <f>IF(G8&gt;G18,G8-G18-SUM($B$21:F21),0)</f>
        <v>3486</v>
      </c>
      <c r="H21" s="50">
        <f>IF(H8&gt;H18,H8-H18-SUM($B$21:G21),0)</f>
        <v>5460</v>
      </c>
      <c r="I21" s="50">
        <f>IF(I8&gt;I18,I8-I18-SUM($B$21:H21),0)</f>
        <v>5460</v>
      </c>
      <c r="J21" s="50">
        <f>IF(J8&gt;J18,J8-J18-SUM($B$21:I21),0)</f>
        <v>7434</v>
      </c>
      <c r="K21" s="50">
        <f>IF(K8&gt;K18,K8-K18-SUM($B$21:J21),0)</f>
        <v>7434</v>
      </c>
      <c r="L21" s="50">
        <f>IF(L8&gt;L18,L8-L18-SUM($B$21:K21),0)</f>
        <v>7434</v>
      </c>
      <c r="M21" s="50">
        <f>IF(M8&gt;M18,M8-M18-SUM($B$21:L21),0)</f>
        <v>9408</v>
      </c>
      <c r="N21" s="29">
        <f>SUM(B21:M21)</f>
        <v>47790</v>
      </c>
      <c r="O21" s="29"/>
    </row>
    <row r="22" spans="1:15">
      <c r="A22" s="116" t="s">
        <v>326</v>
      </c>
    </row>
    <row r="23" spans="1:15">
      <c r="A23" t="s">
        <v>321</v>
      </c>
      <c r="B23" s="29">
        <f>'CA et CV'!O12</f>
        <v>325710</v>
      </c>
    </row>
    <row r="24" spans="1:15">
      <c r="A24" t="s">
        <v>322</v>
      </c>
      <c r="B24" s="29">
        <f>'CA et CV'!O13</f>
        <v>390852</v>
      </c>
    </row>
    <row r="25" spans="1:15">
      <c r="A25" t="s">
        <v>319</v>
      </c>
      <c r="B25" s="29">
        <f>B24-B23</f>
        <v>65142</v>
      </c>
    </row>
    <row r="26" spans="1:15">
      <c r="A26" t="s">
        <v>327</v>
      </c>
      <c r="B26" s="29">
        <f>M8</f>
        <v>55272</v>
      </c>
    </row>
    <row r="27" spans="1:15">
      <c r="A27" s="118" t="s">
        <v>328</v>
      </c>
      <c r="B27" s="117">
        <f>B25-B26</f>
        <v>9870</v>
      </c>
    </row>
    <row r="28" spans="1:15">
      <c r="A28" t="s">
        <v>323</v>
      </c>
      <c r="B28" s="29">
        <f>'Données du cas'!B7+'Compte de résultat'!B34</f>
        <v>39720</v>
      </c>
    </row>
    <row r="29" spans="1:15">
      <c r="A29" t="s">
        <v>324</v>
      </c>
      <c r="B29" s="29">
        <f>B28*(1+'Données du cas'!B29)</f>
        <v>47664</v>
      </c>
    </row>
    <row r="30" spans="1:15">
      <c r="A30" t="s">
        <v>320</v>
      </c>
      <c r="B30" s="29">
        <f>B29-B28</f>
        <v>7944</v>
      </c>
    </row>
    <row r="31" spans="1:15">
      <c r="A31" t="s">
        <v>325</v>
      </c>
      <c r="B31" s="29">
        <f>M18</f>
        <v>7482</v>
      </c>
    </row>
    <row r="32" spans="1:15">
      <c r="A32" s="118" t="s">
        <v>329</v>
      </c>
      <c r="B32" s="117">
        <f>B30-B31</f>
        <v>462</v>
      </c>
    </row>
    <row r="33" spans="1:2">
      <c r="A33" s="118"/>
      <c r="B33" s="117"/>
    </row>
    <row r="34" spans="1:2">
      <c r="A34" t="s">
        <v>333</v>
      </c>
      <c r="B34" s="29">
        <f>B25-B30</f>
        <v>57198</v>
      </c>
    </row>
    <row r="35" spans="1:2">
      <c r="A35" t="s">
        <v>334</v>
      </c>
      <c r="B35" s="29" t="e">
        <f>'Plan de trésorerie'!#REF!</f>
        <v>#REF!</v>
      </c>
    </row>
    <row r="36" spans="1:2">
      <c r="A36" s="118" t="s">
        <v>331</v>
      </c>
      <c r="B36" s="117" t="e">
        <f>B34-B35</f>
        <v>#REF!</v>
      </c>
    </row>
  </sheetData>
  <mergeCells count="1">
    <mergeCell ref="A1:M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125" zoomScaleNormal="125" zoomScalePageLayoutView="125" workbookViewId="0">
      <selection activeCell="O10" sqref="O10"/>
    </sheetView>
  </sheetViews>
  <sheetFormatPr baseColWidth="10" defaultRowHeight="14" x14ac:dyDescent="0"/>
  <cols>
    <col min="1" max="1" width="47.5" bestFit="1" customWidth="1"/>
    <col min="2" max="2" width="8.6640625" bestFit="1" customWidth="1"/>
    <col min="3" max="3" width="9" customWidth="1"/>
    <col min="4" max="4" width="9.1640625" customWidth="1"/>
    <col min="5" max="9" width="9.6640625" bestFit="1" customWidth="1"/>
    <col min="10" max="10" width="10.83203125" bestFit="1" customWidth="1"/>
    <col min="11" max="11" width="9.6640625" bestFit="1" customWidth="1"/>
    <col min="12" max="12" width="10.5" bestFit="1" customWidth="1"/>
    <col min="13" max="13" width="10.1640625" bestFit="1" customWidth="1"/>
    <col min="14" max="14" width="8" bestFit="1" customWidth="1"/>
  </cols>
  <sheetData>
    <row r="1" spans="1:15" ht="18" customHeight="1">
      <c r="A1" s="100"/>
      <c r="B1" s="100" t="s">
        <v>148</v>
      </c>
      <c r="C1" s="100" t="s">
        <v>160</v>
      </c>
      <c r="D1" s="100" t="s">
        <v>149</v>
      </c>
      <c r="E1" s="100" t="s">
        <v>150</v>
      </c>
      <c r="F1" s="100" t="s">
        <v>151</v>
      </c>
      <c r="G1" s="100" t="s">
        <v>152</v>
      </c>
      <c r="H1" s="100" t="s">
        <v>153</v>
      </c>
      <c r="I1" s="100" t="s">
        <v>154</v>
      </c>
      <c r="J1" s="100" t="s">
        <v>155</v>
      </c>
      <c r="K1" s="100" t="s">
        <v>156</v>
      </c>
      <c r="L1" s="100" t="s">
        <v>157</v>
      </c>
      <c r="M1" s="100" t="s">
        <v>158</v>
      </c>
      <c r="N1" s="101" t="s">
        <v>148</v>
      </c>
    </row>
    <row r="2" spans="1:15" ht="12" customHeight="1">
      <c r="A2" s="102" t="s">
        <v>159</v>
      </c>
      <c r="B2" s="103">
        <v>1</v>
      </c>
      <c r="C2" s="103">
        <v>2</v>
      </c>
      <c r="D2" s="103">
        <v>3</v>
      </c>
      <c r="E2" s="103">
        <v>4</v>
      </c>
      <c r="F2" s="103">
        <v>5</v>
      </c>
      <c r="G2" s="103">
        <v>6</v>
      </c>
      <c r="H2" s="103">
        <v>7</v>
      </c>
      <c r="I2" s="103">
        <v>8</v>
      </c>
      <c r="J2" s="103">
        <v>9</v>
      </c>
      <c r="K2" s="103">
        <v>10</v>
      </c>
      <c r="L2" s="103">
        <v>11</v>
      </c>
      <c r="M2" s="103">
        <v>12</v>
      </c>
      <c r="N2" s="104"/>
    </row>
    <row r="3" spans="1:15">
      <c r="A3" s="102" t="s">
        <v>161</v>
      </c>
      <c r="B3" s="102">
        <v>0</v>
      </c>
      <c r="C3" s="105">
        <f t="shared" ref="C3:N3" si="0">B3+B29</f>
        <v>26042.837604893342</v>
      </c>
      <c r="D3" s="105">
        <f t="shared" si="0"/>
        <v>20485.675209786681</v>
      </c>
      <c r="E3" s="105">
        <f t="shared" si="0"/>
        <v>9517.5128146800198</v>
      </c>
      <c r="F3" s="105">
        <f t="shared" si="0"/>
        <v>2000.3504195733622</v>
      </c>
      <c r="G3" s="105">
        <f t="shared" si="0"/>
        <v>4443.1880244667045</v>
      </c>
      <c r="H3" s="105">
        <f t="shared" si="0"/>
        <v>-336.97437063995676</v>
      </c>
      <c r="I3" s="105">
        <f t="shared" si="0"/>
        <v>4542.863234253382</v>
      </c>
      <c r="J3" s="105">
        <f t="shared" si="0"/>
        <v>4009.4543433424551</v>
      </c>
      <c r="K3" s="105">
        <f t="shared" si="0"/>
        <v>13138.291948235797</v>
      </c>
      <c r="L3" s="105">
        <f t="shared" si="0"/>
        <v>22267.12955312914</v>
      </c>
      <c r="M3" s="105">
        <f t="shared" si="0"/>
        <v>25984.967158022475</v>
      </c>
      <c r="N3" s="106">
        <f t="shared" si="0"/>
        <v>39362.804762915817</v>
      </c>
    </row>
    <row r="4" spans="1:15">
      <c r="A4" s="102" t="s">
        <v>312</v>
      </c>
      <c r="B4" s="102"/>
      <c r="C4" s="105"/>
      <c r="D4" s="105">
        <f>'CA et CV'!E10</f>
        <v>8400</v>
      </c>
      <c r="E4" s="105">
        <f>'CA et CV'!F10</f>
        <v>16800</v>
      </c>
      <c r="F4" s="105">
        <f>'CA et CV'!G10</f>
        <v>16800</v>
      </c>
      <c r="G4" s="105">
        <f>'CA et CV'!H10</f>
        <v>25200</v>
      </c>
      <c r="H4" s="105">
        <f>'CA et CV'!I10</f>
        <v>25200</v>
      </c>
      <c r="I4" s="105">
        <f>'CA et CV'!J10</f>
        <v>33600</v>
      </c>
      <c r="J4" s="105">
        <f>'CA et CV'!K10</f>
        <v>33600</v>
      </c>
      <c r="K4" s="105">
        <f>'CA et CV'!L10</f>
        <v>33600</v>
      </c>
      <c r="L4" s="105">
        <f>'CA et CV'!M10</f>
        <v>42000</v>
      </c>
      <c r="M4" s="105">
        <f>'CA et CV'!N10</f>
        <v>42000</v>
      </c>
      <c r="N4" s="187"/>
    </row>
    <row r="5" spans="1:15">
      <c r="A5" s="102" t="s">
        <v>166</v>
      </c>
      <c r="B5" s="105">
        <f>'CA et CV'!C13</f>
        <v>0</v>
      </c>
      <c r="C5" s="105">
        <f>'CA et CV'!D13</f>
        <v>0</v>
      </c>
      <c r="D5" s="105">
        <f>'CA et CV'!E13</f>
        <v>11844</v>
      </c>
      <c r="E5" s="105">
        <f>'CA et CV'!F13</f>
        <v>23688</v>
      </c>
      <c r="F5" s="105">
        <f>'CA et CV'!G13</f>
        <v>23688</v>
      </c>
      <c r="G5" s="105">
        <f>'CA et CV'!H13</f>
        <v>35532</v>
      </c>
      <c r="H5" s="105">
        <f>'CA et CV'!I13</f>
        <v>35532</v>
      </c>
      <c r="I5" s="105">
        <f>'CA et CV'!J13</f>
        <v>47376</v>
      </c>
      <c r="J5" s="105">
        <f>'CA et CV'!K13</f>
        <v>47376</v>
      </c>
      <c r="K5" s="105">
        <f>'CA et CV'!L13</f>
        <v>47376</v>
      </c>
      <c r="L5" s="105">
        <f>'CA et CV'!M13</f>
        <v>59220</v>
      </c>
      <c r="M5" s="105">
        <f>'CA et CV'!N13</f>
        <v>59220</v>
      </c>
      <c r="N5" s="107"/>
    </row>
    <row r="6" spans="1:15">
      <c r="A6" s="102" t="s">
        <v>176</v>
      </c>
      <c r="B6" s="105">
        <f>(('Compte de résultat'!$B$34)/12)*(1+'Données du cas'!$B$29)</f>
        <v>2772</v>
      </c>
      <c r="C6" s="105">
        <f>(('Compte de résultat'!$B$34)/12)*(1+'Données du cas'!$B$29)</f>
        <v>2772</v>
      </c>
      <c r="D6" s="105">
        <f>(('Compte de résultat'!$B$34)/12)*(1+'Données du cas'!$B$29)</f>
        <v>2772</v>
      </c>
      <c r="E6" s="105">
        <f>(('Compte de résultat'!$B$34)/12)*(1+'Données du cas'!$B$29)</f>
        <v>2772</v>
      </c>
      <c r="F6" s="105">
        <f>(('Compte de résultat'!$B$34)/12)*(1+'Données du cas'!$B$29)</f>
        <v>2772</v>
      </c>
      <c r="G6" s="105">
        <f>(('Compte de résultat'!$B$34)/12)*(1+'Données du cas'!$B$29)</f>
        <v>2772</v>
      </c>
      <c r="H6" s="105">
        <f>(('Compte de résultat'!$B$34)/12)*(1+'Données du cas'!$B$29)</f>
        <v>2772</v>
      </c>
      <c r="I6" s="105">
        <f>(('Compte de résultat'!$B$34)/12)*(1+'Données du cas'!$B$29)</f>
        <v>2772</v>
      </c>
      <c r="J6" s="105">
        <f>(('Compte de résultat'!$B$34)/12)*(1+'Données du cas'!$B$29)</f>
        <v>2772</v>
      </c>
      <c r="K6" s="105">
        <f>(('Compte de résultat'!$B$34)/12)*(1+'Données du cas'!$B$29)</f>
        <v>2772</v>
      </c>
      <c r="L6" s="105">
        <f>(('Compte de résultat'!$B$34)/12)*(1+'Données du cas'!$B$29)</f>
        <v>2772</v>
      </c>
      <c r="M6" s="105">
        <f>(('Compte de résultat'!$B$34)/12)*(1+'Données du cas'!$B$29)</f>
        <v>2772</v>
      </c>
      <c r="N6" s="107"/>
    </row>
    <row r="7" spans="1:15">
      <c r="A7" s="102" t="s">
        <v>330</v>
      </c>
      <c r="B7" s="105">
        <f>'CA et CV'!C13</f>
        <v>0</v>
      </c>
      <c r="C7" s="105">
        <f>'CA et CV'!D13</f>
        <v>0</v>
      </c>
      <c r="D7" s="105">
        <f>'CA et CV'!E17</f>
        <v>4970</v>
      </c>
      <c r="E7" s="105">
        <f>'CA et CV'!F17</f>
        <v>9940</v>
      </c>
      <c r="F7" s="105">
        <f>'CA et CV'!G17</f>
        <v>9940</v>
      </c>
      <c r="G7" s="105">
        <f>'CA et CV'!H17</f>
        <v>14910</v>
      </c>
      <c r="H7" s="105">
        <f>'CA et CV'!I17</f>
        <v>14910</v>
      </c>
      <c r="I7" s="105">
        <f>'CA et CV'!J17</f>
        <v>19880</v>
      </c>
      <c r="J7" s="105">
        <f>'CA et CV'!K17</f>
        <v>19880</v>
      </c>
      <c r="K7" s="105">
        <f>'CA et CV'!L17</f>
        <v>19880</v>
      </c>
      <c r="L7" s="105">
        <f>'CA et CV'!M17</f>
        <v>24850</v>
      </c>
      <c r="M7" s="105">
        <f>'CA et CV'!N17</f>
        <v>24850</v>
      </c>
      <c r="N7" s="107"/>
    </row>
    <row r="8" spans="1:15">
      <c r="A8" s="102" t="s">
        <v>177</v>
      </c>
      <c r="B8" s="105">
        <f>'Données du cas'!B7*(1+'Données du cas'!B29)</f>
        <v>14400</v>
      </c>
      <c r="C8" s="105">
        <v>0</v>
      </c>
      <c r="D8" s="105">
        <v>0</v>
      </c>
      <c r="E8" s="105">
        <v>0</v>
      </c>
      <c r="F8" s="105">
        <v>0</v>
      </c>
      <c r="G8" s="105">
        <v>0</v>
      </c>
      <c r="H8" s="105">
        <v>0</v>
      </c>
      <c r="I8" s="105">
        <v>0</v>
      </c>
      <c r="J8" s="105">
        <v>0</v>
      </c>
      <c r="K8" s="105">
        <v>0</v>
      </c>
      <c r="L8" s="105">
        <v>0</v>
      </c>
      <c r="M8" s="105">
        <v>0</v>
      </c>
      <c r="N8" s="107"/>
    </row>
    <row r="9" spans="1:15">
      <c r="A9" s="108" t="s">
        <v>162</v>
      </c>
      <c r="B9" s="102"/>
      <c r="C9" s="102"/>
      <c r="D9" s="102"/>
      <c r="E9" s="102"/>
      <c r="F9" s="102"/>
      <c r="G9" s="102"/>
      <c r="H9" s="102"/>
      <c r="I9" s="102"/>
      <c r="J9" s="102"/>
      <c r="K9" s="102"/>
      <c r="L9" s="102"/>
      <c r="M9" s="102"/>
      <c r="N9" s="109"/>
    </row>
    <row r="10" spans="1:15">
      <c r="A10" s="102" t="s">
        <v>163</v>
      </c>
      <c r="B10" s="105">
        <f>'Bilan, FR, BFR, TR, CAF'!C3</f>
        <v>30000</v>
      </c>
      <c r="C10" s="105"/>
      <c r="D10" s="105"/>
      <c r="E10" s="105"/>
      <c r="F10" s="105"/>
      <c r="G10" s="105"/>
      <c r="H10" s="105"/>
      <c r="I10" s="105"/>
      <c r="J10" s="105"/>
      <c r="K10" s="105"/>
      <c r="L10" s="105"/>
      <c r="M10" s="105"/>
      <c r="N10" s="107"/>
      <c r="O10" s="29"/>
    </row>
    <row r="11" spans="1:15">
      <c r="A11" s="102" t="s">
        <v>164</v>
      </c>
      <c r="B11" s="105">
        <f>'Données du cas'!B9</f>
        <v>15000</v>
      </c>
      <c r="C11" s="105"/>
      <c r="D11" s="105"/>
      <c r="E11" s="105"/>
      <c r="F11" s="105"/>
      <c r="G11" s="105"/>
      <c r="H11" s="105"/>
      <c r="I11" s="105"/>
      <c r="J11" s="105"/>
      <c r="K11" s="105"/>
      <c r="L11" s="105"/>
      <c r="M11" s="105"/>
      <c r="N11" s="107"/>
    </row>
    <row r="12" spans="1:15">
      <c r="A12" s="102" t="s">
        <v>311</v>
      </c>
      <c r="B12" s="105">
        <v>0</v>
      </c>
      <c r="C12" s="105">
        <v>0</v>
      </c>
      <c r="D12" s="105">
        <f>'Plan de TVA'!D6</f>
        <v>0</v>
      </c>
      <c r="E12" s="105">
        <f>'Plan de TVA'!E6</f>
        <v>11844</v>
      </c>
      <c r="F12" s="105">
        <f>'Plan de TVA'!F6</f>
        <v>23688</v>
      </c>
      <c r="G12" s="105">
        <f>'Plan de TVA'!G6</f>
        <v>23688</v>
      </c>
      <c r="H12" s="105">
        <f>'Plan de TVA'!H6</f>
        <v>35532</v>
      </c>
      <c r="I12" s="105">
        <f>'Plan de TVA'!I6</f>
        <v>35532</v>
      </c>
      <c r="J12" s="105">
        <f>'Plan de TVA'!J6</f>
        <v>47376</v>
      </c>
      <c r="K12" s="105">
        <f>'Plan de TVA'!K6</f>
        <v>47376</v>
      </c>
      <c r="L12" s="105">
        <f>'Plan de TVA'!L6</f>
        <v>47376</v>
      </c>
      <c r="M12" s="105">
        <f>'Plan de TVA'!M6</f>
        <v>59220</v>
      </c>
      <c r="N12" s="107"/>
    </row>
    <row r="13" spans="1:15">
      <c r="A13" s="108" t="s">
        <v>172</v>
      </c>
      <c r="B13" s="110">
        <f>B10+B11+B12</f>
        <v>45000</v>
      </c>
      <c r="C13" s="110">
        <f t="shared" ref="C13:M13" si="1">C10+C11+C12</f>
        <v>0</v>
      </c>
      <c r="D13" s="110">
        <f t="shared" si="1"/>
        <v>0</v>
      </c>
      <c r="E13" s="110">
        <f t="shared" si="1"/>
        <v>11844</v>
      </c>
      <c r="F13" s="110">
        <f t="shared" si="1"/>
        <v>23688</v>
      </c>
      <c r="G13" s="110">
        <f t="shared" si="1"/>
        <v>23688</v>
      </c>
      <c r="H13" s="110">
        <f t="shared" si="1"/>
        <v>35532</v>
      </c>
      <c r="I13" s="110">
        <f t="shared" si="1"/>
        <v>35532</v>
      </c>
      <c r="J13" s="110">
        <f t="shared" si="1"/>
        <v>47376</v>
      </c>
      <c r="K13" s="110">
        <f t="shared" si="1"/>
        <v>47376</v>
      </c>
      <c r="L13" s="110">
        <f t="shared" si="1"/>
        <v>47376</v>
      </c>
      <c r="M13" s="110">
        <f t="shared" si="1"/>
        <v>59220</v>
      </c>
      <c r="N13" s="111"/>
    </row>
    <row r="14" spans="1:15">
      <c r="A14" s="108" t="s">
        <v>165</v>
      </c>
      <c r="B14" s="105"/>
      <c r="C14" s="105"/>
      <c r="D14" s="105"/>
      <c r="E14" s="105"/>
      <c r="F14" s="105"/>
      <c r="G14" s="105"/>
      <c r="H14" s="105"/>
      <c r="I14" s="105"/>
      <c r="J14" s="105"/>
      <c r="K14" s="105"/>
      <c r="L14" s="105"/>
      <c r="M14" s="105"/>
      <c r="N14" s="107"/>
    </row>
    <row r="15" spans="1:15">
      <c r="A15" s="102" t="s">
        <v>353</v>
      </c>
      <c r="B15" s="105">
        <f>IF('Données du cas'!$B$25=0,B6,0)</f>
        <v>0</v>
      </c>
      <c r="C15" s="105">
        <f>IF('Données du cas'!$B$25=0,C6,IF('Données du cas'!$B$25=30,B6,0))</f>
        <v>0</v>
      </c>
      <c r="D15" s="105">
        <f>IF('Données du cas'!$B$25=0,D6,IF('Données du cas'!$B$25=30,C6,IF('Données du cas'!$B$25=60,B6,0)))</f>
        <v>0</v>
      </c>
      <c r="E15" s="105">
        <f>IF('Données du cas'!$B$25=0,E6,IF('Données du cas'!$B$25=30,D6,IF('Données du cas'!$B$25=60,C6,IF('Données du cas'!$B$25=90,B6,0))))</f>
        <v>2772</v>
      </c>
      <c r="F15" s="105">
        <f>IF('Données du cas'!$B$25=0,F6,IF('Données du cas'!$B$25=30,E6,IF('Données du cas'!$B$25=60,D6,IF('Données du cas'!$B$25=90,C6,0))))</f>
        <v>2772</v>
      </c>
      <c r="G15" s="105">
        <f>IF('Données du cas'!$B$25=0,G6,IF('Données du cas'!$B$25=30,F6,IF('Données du cas'!$B$25=60,E6,IF('Données du cas'!$B$25=90,D6,0))))</f>
        <v>2772</v>
      </c>
      <c r="H15" s="105">
        <f>IF('Données du cas'!$B$25=0,H6,IF('Données du cas'!$B$25=30,G6,IF('Données du cas'!$B$25=60,F6,IF('Données du cas'!$B$25=90,E6,0))))</f>
        <v>2772</v>
      </c>
      <c r="I15" s="105">
        <f>IF('Données du cas'!$B$25=0,I6,IF('Données du cas'!$B$25=30,H6,IF('Données du cas'!$B$25=60,G6,IF('Données du cas'!$B$25=90,F6,0))))</f>
        <v>2772</v>
      </c>
      <c r="J15" s="105">
        <f>IF('Données du cas'!$B$25=0,J6,IF('Données du cas'!$B$25=30,I6,IF('Données du cas'!$B$25=60,H6,IF('Données du cas'!$B$25=90,G6,0))))</f>
        <v>2772</v>
      </c>
      <c r="K15" s="105">
        <f>IF('Données du cas'!$B$25=0,K6,IF('Données du cas'!$B$25=30,J6,IF('Données du cas'!$B$25=60,I6,IF('Données du cas'!$B$25=90,H6,0))))</f>
        <v>2772</v>
      </c>
      <c r="L15" s="105">
        <f>IF('Données du cas'!$B$25=0,L6,IF('Données du cas'!$B$25=30,K6,IF('Données du cas'!$B$25=60,J6,IF('Données du cas'!$B$25=90,I6,0))))</f>
        <v>2772</v>
      </c>
      <c r="M15" s="105">
        <f>IF('Données du cas'!$B$25=0,M6,IF('Données du cas'!$B$25=30,L6,IF('Données du cas'!$B$25=60,K6,IF('Données du cas'!$B$25=90,J6,0))))</f>
        <v>2772</v>
      </c>
      <c r="N15" s="107"/>
    </row>
    <row r="16" spans="1:15">
      <c r="A16" s="102" t="s">
        <v>310</v>
      </c>
      <c r="B16" s="105"/>
      <c r="C16" s="105"/>
      <c r="D16" s="105">
        <f>D7</f>
        <v>4970</v>
      </c>
      <c r="E16" s="105">
        <f t="shared" ref="E16:M16" si="2">E7</f>
        <v>9940</v>
      </c>
      <c r="F16" s="105">
        <f t="shared" si="2"/>
        <v>9940</v>
      </c>
      <c r="G16" s="105">
        <f t="shared" si="2"/>
        <v>14910</v>
      </c>
      <c r="H16" s="105">
        <f t="shared" si="2"/>
        <v>14910</v>
      </c>
      <c r="I16" s="105">
        <f t="shared" si="2"/>
        <v>19880</v>
      </c>
      <c r="J16" s="105">
        <f t="shared" si="2"/>
        <v>19880</v>
      </c>
      <c r="K16" s="105">
        <f t="shared" si="2"/>
        <v>19880</v>
      </c>
      <c r="L16" s="105">
        <f t="shared" si="2"/>
        <v>24850</v>
      </c>
      <c r="M16" s="105">
        <f t="shared" si="2"/>
        <v>24850</v>
      </c>
      <c r="N16" s="107"/>
    </row>
    <row r="17" spans="1:14">
      <c r="A17" s="102" t="s">
        <v>175</v>
      </c>
      <c r="B17" s="105">
        <f>'Données du cas'!B7*(1+'Données du cas'!$B$29)</f>
        <v>14400</v>
      </c>
      <c r="C17" s="105"/>
      <c r="D17" s="105"/>
      <c r="E17" s="105"/>
      <c r="F17" s="105"/>
      <c r="G17" s="105"/>
      <c r="H17" s="105"/>
      <c r="I17" s="105"/>
      <c r="J17" s="105"/>
      <c r="K17" s="105"/>
      <c r="L17" s="105"/>
      <c r="M17" s="105"/>
      <c r="N17" s="107"/>
    </row>
    <row r="18" spans="1:14">
      <c r="A18" s="102" t="s">
        <v>274</v>
      </c>
      <c r="B18" s="105">
        <f>'Données du cas'!$B$14</f>
        <v>2000</v>
      </c>
      <c r="C18" s="105">
        <f>'Données du cas'!$B$14</f>
        <v>2000</v>
      </c>
      <c r="D18" s="105">
        <f>'Données du cas'!$B$14</f>
        <v>2000</v>
      </c>
      <c r="E18" s="105">
        <f>'Données du cas'!$B$14</f>
        <v>2000</v>
      </c>
      <c r="F18" s="105">
        <f>'Données du cas'!$B$14</f>
        <v>2000</v>
      </c>
      <c r="G18" s="105">
        <f>'Données du cas'!$B$14</f>
        <v>2000</v>
      </c>
      <c r="H18" s="105">
        <f>'Données du cas'!$B$14</f>
        <v>2000</v>
      </c>
      <c r="I18" s="105">
        <f>'Données du cas'!$B$14</f>
        <v>2000</v>
      </c>
      <c r="J18" s="105">
        <f>'Données du cas'!$B$14</f>
        <v>2000</v>
      </c>
      <c r="K18" s="105">
        <f>'Données du cas'!$B$14</f>
        <v>2000</v>
      </c>
      <c r="L18" s="105">
        <f>'Données du cas'!$B$14</f>
        <v>2000</v>
      </c>
      <c r="M18" s="105">
        <f>'Données du cas'!$B$14</f>
        <v>2000</v>
      </c>
      <c r="N18" s="107"/>
    </row>
    <row r="19" spans="1:14">
      <c r="A19" s="102" t="s">
        <v>275</v>
      </c>
      <c r="B19" s="105"/>
      <c r="C19" s="105"/>
      <c r="D19" s="105">
        <f>'Données du cas'!$B$17*'CA et CV'!E10</f>
        <v>420</v>
      </c>
      <c r="E19" s="105">
        <f>'Données du cas'!$B$17*'CA et CV'!F10</f>
        <v>840</v>
      </c>
      <c r="F19" s="105">
        <f>'Données du cas'!$B$17*'CA et CV'!G10</f>
        <v>840</v>
      </c>
      <c r="G19" s="105">
        <f>'Données du cas'!$B$17*'CA et CV'!H10</f>
        <v>1260</v>
      </c>
      <c r="H19" s="105">
        <f>'Données du cas'!$B$17*'CA et CV'!I10</f>
        <v>1260</v>
      </c>
      <c r="I19" s="105">
        <f>'Données du cas'!$B$17*'CA et CV'!J10</f>
        <v>1680</v>
      </c>
      <c r="J19" s="105">
        <f>'Données du cas'!$B$17*'CA et CV'!K10</f>
        <v>1680</v>
      </c>
      <c r="K19" s="105">
        <f>'Données du cas'!$B$17*'CA et CV'!L10</f>
        <v>1680</v>
      </c>
      <c r="L19" s="105">
        <f>'Données du cas'!$B$17*'CA et CV'!M10</f>
        <v>2100</v>
      </c>
      <c r="M19" s="105">
        <f>'Données du cas'!$B$17*'CA et CV'!N10</f>
        <v>2100</v>
      </c>
      <c r="N19" s="107"/>
    </row>
    <row r="20" spans="1:14">
      <c r="A20" s="102" t="s">
        <v>276</v>
      </c>
      <c r="B20" s="105"/>
      <c r="C20" s="105">
        <f>B18*'Données du cas'!$B$15</f>
        <v>1000</v>
      </c>
      <c r="D20" s="105">
        <f>C18*'Données du cas'!$B$15</f>
        <v>1000</v>
      </c>
      <c r="E20" s="105">
        <f>D18*'Données du cas'!$B$15</f>
        <v>1000</v>
      </c>
      <c r="F20" s="105">
        <f>E18*'Données du cas'!$B$15</f>
        <v>1000</v>
      </c>
      <c r="G20" s="105">
        <f>F18*'Données du cas'!$B$15</f>
        <v>1000</v>
      </c>
      <c r="H20" s="105">
        <f>G18*'Données du cas'!$B$15</f>
        <v>1000</v>
      </c>
      <c r="I20" s="105">
        <f>H18*'Données du cas'!$B$15</f>
        <v>1000</v>
      </c>
      <c r="J20" s="105">
        <f>I18*'Données du cas'!$B$15</f>
        <v>1000</v>
      </c>
      <c r="K20" s="105">
        <f>J18*'Données du cas'!$B$15</f>
        <v>1000</v>
      </c>
      <c r="L20" s="105">
        <f>K18*'Données du cas'!$B$15</f>
        <v>1000</v>
      </c>
      <c r="M20" s="105">
        <f>L18*'Données du cas'!$B$15</f>
        <v>1000</v>
      </c>
      <c r="N20" s="107"/>
    </row>
    <row r="21" spans="1:14">
      <c r="A21" s="102" t="s">
        <v>273</v>
      </c>
      <c r="B21" s="105"/>
      <c r="C21" s="105"/>
      <c r="D21" s="105"/>
      <c r="E21" s="105">
        <f>D19*'Données du cas'!$B$15</f>
        <v>210</v>
      </c>
      <c r="F21" s="105">
        <f>E19*'Données du cas'!$B$15</f>
        <v>420</v>
      </c>
      <c r="G21" s="105">
        <f>F19*'Données du cas'!$B$15</f>
        <v>420</v>
      </c>
      <c r="H21" s="105">
        <f>G19*'Données du cas'!$B$15</f>
        <v>630</v>
      </c>
      <c r="I21" s="105">
        <f>H19*'Données du cas'!$B$15</f>
        <v>630</v>
      </c>
      <c r="J21" s="105">
        <f>I19*'Données du cas'!$B$15</f>
        <v>840</v>
      </c>
      <c r="K21" s="105">
        <f>J19*'Données du cas'!$B$15</f>
        <v>840</v>
      </c>
      <c r="L21" s="105">
        <f>K19*'Données du cas'!$B$15</f>
        <v>840</v>
      </c>
      <c r="M21" s="105">
        <f>L19*'Données du cas'!$B$15</f>
        <v>1050</v>
      </c>
      <c r="N21" s="107"/>
    </row>
    <row r="22" spans="1:14">
      <c r="A22" s="102" t="s">
        <v>167</v>
      </c>
      <c r="B22" s="105">
        <f>'Données du cas'!$B$28*'Plan de trésorerie'!B18</f>
        <v>100</v>
      </c>
      <c r="C22" s="105">
        <f>'Données du cas'!$B$28*'Plan de trésorerie'!C18</f>
        <v>100</v>
      </c>
      <c r="D22" s="105">
        <f>'Données du cas'!$B$28*(D18+D19)</f>
        <v>121</v>
      </c>
      <c r="E22" s="105">
        <f>'Données du cas'!$B$28*(E18+E19)</f>
        <v>142</v>
      </c>
      <c r="F22" s="105">
        <f>'Données du cas'!$B$28*(F18+F19)</f>
        <v>142</v>
      </c>
      <c r="G22" s="105">
        <f>'Données du cas'!$B$28*(G18+G19)</f>
        <v>163</v>
      </c>
      <c r="H22" s="105">
        <f>'Données du cas'!$B$28*(H18+H19)</f>
        <v>163</v>
      </c>
      <c r="I22" s="105">
        <f>'Données du cas'!$B$28*(I18+I19)</f>
        <v>184</v>
      </c>
      <c r="J22" s="105">
        <f>'Données du cas'!$B$28*(J18+J19)</f>
        <v>184</v>
      </c>
      <c r="K22" s="105">
        <f>'Données du cas'!$B$28*(K18+K19)</f>
        <v>184</v>
      </c>
      <c r="L22" s="105">
        <f>'Données du cas'!$B$28*(L18+L19)</f>
        <v>205</v>
      </c>
      <c r="M22" s="105">
        <f>'Données du cas'!$B$28*(M18+M19)</f>
        <v>205</v>
      </c>
      <c r="N22" s="107"/>
    </row>
    <row r="23" spans="1:14">
      <c r="A23" s="102" t="s">
        <v>303</v>
      </c>
      <c r="B23" s="105">
        <f>'Compte de résultat'!$E$70/12</f>
        <v>2000.8333333333333</v>
      </c>
      <c r="C23" s="105">
        <f>'Compte de résultat'!$E$70/12</f>
        <v>2000.8333333333333</v>
      </c>
      <c r="D23" s="105">
        <f>'Compte de résultat'!$E$70/12</f>
        <v>2000.8333333333333</v>
      </c>
      <c r="E23" s="105">
        <f>'Compte de résultat'!$E$70/12</f>
        <v>2000.8333333333333</v>
      </c>
      <c r="F23" s="105">
        <f>'Compte de résultat'!$E$70/12</f>
        <v>2000.8333333333333</v>
      </c>
      <c r="G23" s="105">
        <f>'Compte de résultat'!$E$70/12</f>
        <v>2000.8333333333333</v>
      </c>
      <c r="H23" s="105">
        <f>'Compte de résultat'!$E$70/12</f>
        <v>2000.8333333333333</v>
      </c>
      <c r="I23" s="105">
        <f>'Compte de résultat'!$E$70/12</f>
        <v>2000.8333333333333</v>
      </c>
      <c r="J23" s="105">
        <f>'Compte de résultat'!$E$70/12</f>
        <v>2000.8333333333333</v>
      </c>
      <c r="K23" s="105">
        <f>'Compte de résultat'!$E$70/12</f>
        <v>2000.8333333333333</v>
      </c>
      <c r="L23" s="105">
        <f>'Compte de résultat'!$E$70/12</f>
        <v>2000.8333333333333</v>
      </c>
      <c r="M23" s="105">
        <f>'Compte de résultat'!$E$70/12</f>
        <v>2000.8333333333333</v>
      </c>
      <c r="N23" s="107"/>
    </row>
    <row r="24" spans="1:14">
      <c r="A24" s="102" t="s">
        <v>168</v>
      </c>
      <c r="B24" s="105">
        <f>-PPMT('Données du cas'!$B$10/12,'Plan de trésorerie'!B2,'Données du cas'!$B$11,'Données du cas'!$B$9,0)</f>
        <v>381.32906177332671</v>
      </c>
      <c r="C24" s="105">
        <f>-PPMT('Données du cas'!$B$10/12,'Plan de trésorerie'!C2,'Données du cas'!$B$11,'Données du cas'!$B$9,0)</f>
        <v>383.23570708219336</v>
      </c>
      <c r="D24" s="105">
        <f>-PPMT('Données du cas'!$B$10/12,'Plan de trésorerie'!D2,'Données du cas'!$B$11,'Données du cas'!$B$9,0)</f>
        <v>385.15188561760431</v>
      </c>
      <c r="E24" s="105">
        <f>-PPMT('Données du cas'!$B$10/12,'Plan de trésorerie'!E2,'Données du cas'!$B$11,'Données du cas'!$B$9,0)</f>
        <v>387.07764504569235</v>
      </c>
      <c r="F24" s="105">
        <f>-PPMT('Données du cas'!$B$10/12,'Plan de trésorerie'!F2,'Données du cas'!$B$11,'Données du cas'!$B$9,0)</f>
        <v>389.0130332709208</v>
      </c>
      <c r="G24" s="105">
        <f>-PPMT('Données du cas'!$B$10/12,'Plan de trésorerie'!G2,'Données du cas'!$B$11,'Données du cas'!$B$9,0)</f>
        <v>390.95809843727534</v>
      </c>
      <c r="H24" s="105">
        <f>-PPMT('Données du cas'!$B$10/12,'Plan de trésorerie'!H2,'Données du cas'!$B$11,'Données du cas'!$B$9,0)</f>
        <v>392.91288892946176</v>
      </c>
      <c r="I24" s="105">
        <f>-PPMT('Données du cas'!$B$10/12,'Plan de trésorerie'!I2,'Données du cas'!$B$11,'Données du cas'!$B$9,0)</f>
        <v>394.87745337410911</v>
      </c>
      <c r="J24" s="105">
        <f>-PPMT('Données du cas'!$B$10/12,'Plan de trésorerie'!J2,'Données du cas'!$B$11,'Données du cas'!$B$9,0)</f>
        <v>396.85184064097967</v>
      </c>
      <c r="K24" s="105">
        <f>-PPMT('Données du cas'!$B$10/12,'Plan de trésorerie'!K2,'Données du cas'!$B$11,'Données du cas'!$B$9,0)</f>
        <v>398.8360998441845</v>
      </c>
      <c r="L24" s="105">
        <f>-PPMT('Données du cas'!$B$10/12,'Plan de trésorerie'!L2,'Données du cas'!$B$11,'Données du cas'!$B$9,0)</f>
        <v>400.83028034340538</v>
      </c>
      <c r="M24" s="105">
        <f>-PPMT('Données du cas'!$B$10/12,'Plan de trésorerie'!M2,'Données du cas'!$B$11,'Données du cas'!$B$9,0)</f>
        <v>402.83443174512252</v>
      </c>
      <c r="N24" s="107"/>
    </row>
    <row r="25" spans="1:14">
      <c r="A25" s="102" t="s">
        <v>169</v>
      </c>
      <c r="B25" s="105">
        <f>-IPMT('Données du cas'!$B$10/12,'Plan de trésorerie'!B2,'Données du cas'!$B$11,'Données du cas'!$B$9,0)</f>
        <v>75</v>
      </c>
      <c r="C25" s="105">
        <f>-IPMT('Données du cas'!$B$10/12,'Plan de trésorerie'!C2,'Données du cas'!$B$11,'Données du cas'!$B$9,0)</f>
        <v>73.093354691133371</v>
      </c>
      <c r="D25" s="105">
        <f>-IPMT('Données du cas'!$B$10/12,'Plan de trésorerie'!D2,'Données du cas'!$B$11,'Données du cas'!$B$9,0)</f>
        <v>71.177176155722393</v>
      </c>
      <c r="E25" s="105">
        <f>-IPMT('Données du cas'!$B$10/12,'Plan de trésorerie'!E2,'Données du cas'!$B$11,'Données du cas'!$B$9,0)</f>
        <v>69.251416727634378</v>
      </c>
      <c r="F25" s="105">
        <f>-IPMT('Données du cas'!$B$10/12,'Plan de trésorerie'!F2,'Données du cas'!$B$11,'Données du cas'!$B$9,0)</f>
        <v>67.316028502405914</v>
      </c>
      <c r="G25" s="105">
        <f>-IPMT('Données du cas'!$B$10/12,'Plan de trésorerie'!G2,'Données du cas'!$B$11,'Données du cas'!$B$9,0)</f>
        <v>65.370963336051304</v>
      </c>
      <c r="H25" s="105">
        <f>-IPMT('Données du cas'!$B$10/12,'Plan de trésorerie'!H2,'Données du cas'!$B$11,'Données du cas'!$B$9,0)</f>
        <v>63.416172843864942</v>
      </c>
      <c r="I25" s="105">
        <f>-IPMT('Données du cas'!$B$10/12,'Plan de trésorerie'!I2,'Données du cas'!$B$11,'Données du cas'!$B$9,0)</f>
        <v>61.451608399217633</v>
      </c>
      <c r="J25" s="105">
        <f>-IPMT('Données du cas'!$B$10/12,'Plan de trésorerie'!J2,'Données du cas'!$B$11,'Données du cas'!$B$9,0)</f>
        <v>59.477221132347076</v>
      </c>
      <c r="K25" s="105">
        <f>-IPMT('Données du cas'!$B$10/12,'Plan de trésorerie'!K2,'Données du cas'!$B$11,'Données du cas'!$B$9,0)</f>
        <v>57.492961929142176</v>
      </c>
      <c r="L25" s="105">
        <f>-IPMT('Données du cas'!$B$10/12,'Plan de trésorerie'!L2,'Données du cas'!$B$11,'Données du cas'!$B$9,0)</f>
        <v>55.498781429921245</v>
      </c>
      <c r="M25" s="105">
        <f>-IPMT('Données du cas'!$B$10/12,'Plan de trésorerie'!M2,'Données du cas'!$B$11,'Données du cas'!$B$9,0)</f>
        <v>53.494630028204227</v>
      </c>
      <c r="N25" s="107"/>
    </row>
    <row r="26" spans="1:14">
      <c r="A26" s="102" t="s">
        <v>68</v>
      </c>
      <c r="B26" s="105">
        <v>0</v>
      </c>
      <c r="C26" s="105">
        <f>(('Données du cas'!$B$12)/12)*'Plan de trésorerie'!B3</f>
        <v>0</v>
      </c>
      <c r="D26" s="105">
        <f>IF(C3&lt;0,-('Données du cas'!$B$12/12)*'Plan de trésorerie'!C3,0)</f>
        <v>0</v>
      </c>
      <c r="E26" s="105">
        <f>IF(D3&lt;0,-('Données du cas'!$B$12/12)*'Plan de trésorerie'!D3,0)</f>
        <v>0</v>
      </c>
      <c r="F26" s="105">
        <f>IF(E3&lt;0,-('Données du cas'!$B$12/12)*'Plan de trésorerie'!E3,0)</f>
        <v>0</v>
      </c>
      <c r="G26" s="105">
        <f>IF(F3&lt;0,-('Données du cas'!$B$12/12)*'Plan de trésorerie'!F3,0)</f>
        <v>0</v>
      </c>
      <c r="H26" s="105">
        <f>IF(G3&lt;0,-('Données du cas'!$B$12/12)*'Plan de trésorerie'!G3,0)</f>
        <v>0</v>
      </c>
      <c r="I26" s="105">
        <f>IF(H3&lt;0,-('Données du cas'!$B$12/12)*'Plan de trésorerie'!H3,0)</f>
        <v>2.2464958042663787</v>
      </c>
      <c r="J26" s="105">
        <f>IF(I3&lt;0,-('Données du cas'!$B$12/12)*'Plan de trésorerie'!I3,0)</f>
        <v>0</v>
      </c>
      <c r="K26" s="105">
        <f>IF(J3&lt;0,-('Données du cas'!$B$12/12)*'Plan de trésorerie'!J3,0)</f>
        <v>0</v>
      </c>
      <c r="L26" s="105">
        <f>IF(K3&lt;0,-('Données du cas'!$B$12/12)*'Plan de trésorerie'!K3,0)</f>
        <v>0</v>
      </c>
      <c r="M26" s="105">
        <f>IF(L3&lt;0,-('Données du cas'!$B$12/12)*'Plan de trésorerie'!L3,0)</f>
        <v>0</v>
      </c>
      <c r="N26" s="107"/>
    </row>
    <row r="27" spans="1:14">
      <c r="A27" s="102" t="s">
        <v>170</v>
      </c>
      <c r="B27" s="105">
        <f>'Plan de TVA'!B21</f>
        <v>0</v>
      </c>
      <c r="C27" s="105">
        <f>'Plan de TVA'!C21</f>
        <v>0</v>
      </c>
      <c r="D27" s="105">
        <f>'Plan de TVA'!D21</f>
        <v>0</v>
      </c>
      <c r="E27" s="105">
        <f>'Plan de TVA'!E21</f>
        <v>0</v>
      </c>
      <c r="F27" s="105">
        <f>'Plan de TVA'!F21</f>
        <v>1674</v>
      </c>
      <c r="G27" s="105">
        <f>'Plan de TVA'!G21</f>
        <v>3486</v>
      </c>
      <c r="H27" s="105">
        <f>'Plan de TVA'!H21</f>
        <v>5460</v>
      </c>
      <c r="I27" s="105">
        <f>'Plan de TVA'!I21</f>
        <v>5460</v>
      </c>
      <c r="J27" s="105">
        <f>'Plan de TVA'!J21</f>
        <v>7434</v>
      </c>
      <c r="K27" s="105">
        <f>'Plan de TVA'!K21</f>
        <v>7434</v>
      </c>
      <c r="L27" s="105">
        <f>'Plan de TVA'!L21</f>
        <v>7434</v>
      </c>
      <c r="M27" s="105">
        <f>'Plan de TVA'!M21</f>
        <v>9408</v>
      </c>
      <c r="N27" s="107"/>
    </row>
    <row r="28" spans="1:14">
      <c r="A28" s="108" t="s">
        <v>171</v>
      </c>
      <c r="B28" s="105">
        <f t="shared" ref="B28:M28" si="3">SUM(B15:B27)</f>
        <v>18957.162395106658</v>
      </c>
      <c r="C28" s="105">
        <f t="shared" si="3"/>
        <v>5557.1623951066604</v>
      </c>
      <c r="D28" s="105">
        <f t="shared" si="3"/>
        <v>10968.162395106661</v>
      </c>
      <c r="E28" s="105">
        <f t="shared" si="3"/>
        <v>19361.162395106658</v>
      </c>
      <c r="F28" s="105">
        <f t="shared" si="3"/>
        <v>21245.162395106658</v>
      </c>
      <c r="G28" s="105">
        <f t="shared" si="3"/>
        <v>28468.162395106661</v>
      </c>
      <c r="H28" s="105">
        <f t="shared" si="3"/>
        <v>30652.162395106661</v>
      </c>
      <c r="I28" s="105">
        <f t="shared" si="3"/>
        <v>36065.408890910927</v>
      </c>
      <c r="J28" s="105">
        <f t="shared" si="3"/>
        <v>38247.162395106658</v>
      </c>
      <c r="K28" s="105">
        <f t="shared" si="3"/>
        <v>38247.162395106658</v>
      </c>
      <c r="L28" s="105">
        <f t="shared" si="3"/>
        <v>43658.162395106665</v>
      </c>
      <c r="M28" s="105">
        <f t="shared" si="3"/>
        <v>45842.162395106658</v>
      </c>
      <c r="N28" s="107"/>
    </row>
    <row r="29" spans="1:14">
      <c r="A29" s="102" t="s">
        <v>173</v>
      </c>
      <c r="B29" s="105">
        <f t="shared" ref="B29:M29" si="4">B13-B28</f>
        <v>26042.837604893342</v>
      </c>
      <c r="C29" s="105">
        <f t="shared" si="4"/>
        <v>-5557.1623951066604</v>
      </c>
      <c r="D29" s="105">
        <f t="shared" si="4"/>
        <v>-10968.162395106661</v>
      </c>
      <c r="E29" s="105">
        <f t="shared" si="4"/>
        <v>-7517.1623951066576</v>
      </c>
      <c r="F29" s="105">
        <f t="shared" si="4"/>
        <v>2442.8376048933424</v>
      </c>
      <c r="G29" s="105">
        <f t="shared" si="4"/>
        <v>-4780.1623951066613</v>
      </c>
      <c r="H29" s="105">
        <f t="shared" si="4"/>
        <v>4879.8376048933387</v>
      </c>
      <c r="I29" s="105">
        <f t="shared" si="4"/>
        <v>-533.40889091092686</v>
      </c>
      <c r="J29" s="105">
        <f t="shared" si="4"/>
        <v>9128.8376048933424</v>
      </c>
      <c r="K29" s="105">
        <f t="shared" si="4"/>
        <v>9128.8376048933424</v>
      </c>
      <c r="L29" s="105">
        <f t="shared" si="4"/>
        <v>3717.8376048933351</v>
      </c>
      <c r="M29" s="105">
        <f t="shared" si="4"/>
        <v>13377.837604893342</v>
      </c>
      <c r="N29" s="107"/>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3" sqref="E3:F7"/>
    </sheetView>
  </sheetViews>
  <sheetFormatPr baseColWidth="10" defaultRowHeight="14" x14ac:dyDescent="0"/>
  <cols>
    <col min="1" max="1" width="3.1640625" bestFit="1" customWidth="1"/>
    <col min="2" max="2" width="79.1640625" bestFit="1" customWidth="1"/>
    <col min="3" max="3" width="13.33203125" customWidth="1"/>
  </cols>
  <sheetData>
    <row r="1" spans="1:6" ht="17">
      <c r="A1" s="53">
        <v>1</v>
      </c>
      <c r="B1" s="57" t="s">
        <v>208</v>
      </c>
      <c r="C1" s="58" t="s">
        <v>209</v>
      </c>
    </row>
    <row r="2" spans="1:6" ht="18" thickBot="1">
      <c r="A2" s="54">
        <v>2</v>
      </c>
      <c r="B2" s="200" t="s">
        <v>210</v>
      </c>
      <c r="C2" s="201"/>
    </row>
    <row r="3" spans="1:6" ht="24" thickTop="1">
      <c r="A3" s="54">
        <v>3</v>
      </c>
      <c r="B3" s="59"/>
      <c r="C3" s="60"/>
      <c r="E3" s="202" t="s">
        <v>255</v>
      </c>
      <c r="F3" s="203"/>
    </row>
    <row r="4" spans="1:6" ht="23">
      <c r="A4" s="54">
        <v>4</v>
      </c>
      <c r="B4" s="59" t="s">
        <v>211</v>
      </c>
      <c r="C4" s="61">
        <f>'Bilan, FR, BFR, TR, CAF'!C48</f>
        <v>107044.80476291582</v>
      </c>
      <c r="E4" s="188" t="s">
        <v>235</v>
      </c>
      <c r="F4" s="189">
        <f>C4/C5</f>
        <v>1.7545890789263465</v>
      </c>
    </row>
    <row r="5" spans="1:6" ht="23">
      <c r="A5" s="54">
        <v>5</v>
      </c>
      <c r="B5" s="59" t="s">
        <v>212</v>
      </c>
      <c r="C5" s="61">
        <f>'Bilan, FR, BFR, TR, CAF'!C3+'Bilan, FR, BFR, TR, CAF'!C6</f>
        <v>61008.475459346744</v>
      </c>
      <c r="E5" s="188" t="s">
        <v>230</v>
      </c>
      <c r="F5" s="190">
        <f>C16/C4</f>
        <v>0.28967753762571385</v>
      </c>
    </row>
    <row r="6" spans="1:6" ht="23">
      <c r="A6" s="54">
        <v>6</v>
      </c>
      <c r="B6" s="59" t="s">
        <v>213</v>
      </c>
      <c r="C6" s="61">
        <f>C4-C5</f>
        <v>46036.32930356908</v>
      </c>
      <c r="E6" s="188" t="s">
        <v>233</v>
      </c>
      <c r="F6" s="190">
        <f>C16/'Compte de résultat'!B19</f>
        <v>9.5202712410876994E-2</v>
      </c>
    </row>
    <row r="7" spans="1:6" ht="24" thickBot="1">
      <c r="A7" s="54">
        <v>7</v>
      </c>
      <c r="B7" s="59" t="s">
        <v>214</v>
      </c>
      <c r="C7" s="61"/>
      <c r="E7" s="191" t="s">
        <v>231</v>
      </c>
      <c r="F7" s="192">
        <f>'CA et CV'!O12/C4</f>
        <v>3.0427445845820036</v>
      </c>
    </row>
    <row r="8" spans="1:6" ht="18" thickTop="1">
      <c r="A8" s="54">
        <v>8</v>
      </c>
      <c r="B8" s="62" t="s">
        <v>215</v>
      </c>
      <c r="C8" s="63">
        <f>C9+C10</f>
        <v>774.28681097991102</v>
      </c>
    </row>
    <row r="9" spans="1:6" ht="17">
      <c r="A9" s="54">
        <v>9</v>
      </c>
      <c r="B9" s="64" t="s">
        <v>216</v>
      </c>
      <c r="C9" s="63">
        <f>'Compte de résultat'!B74</f>
        <v>772.04031517564465</v>
      </c>
    </row>
    <row r="10" spans="1:6" ht="17">
      <c r="A10" s="54">
        <v>10</v>
      </c>
      <c r="B10" s="64" t="s">
        <v>68</v>
      </c>
      <c r="C10" s="63">
        <f>'Compte de résultat'!B75</f>
        <v>2.2464958042663787</v>
      </c>
    </row>
    <row r="11" spans="1:6" ht="17">
      <c r="A11" s="54">
        <v>11</v>
      </c>
      <c r="B11" s="62" t="s">
        <v>217</v>
      </c>
      <c r="C11" s="65">
        <f>C8/C6</f>
        <v>1.6819038848083889E-2</v>
      </c>
    </row>
    <row r="12" spans="1:6" ht="17">
      <c r="A12" s="54">
        <v>12</v>
      </c>
      <c r="B12" s="62" t="s">
        <v>218</v>
      </c>
      <c r="C12" s="63">
        <f>'Compte de résultat'!B80+'Compte de résultat'!B77</f>
        <v>47287.000000000022</v>
      </c>
    </row>
    <row r="13" spans="1:6" ht="17">
      <c r="A13" s="54">
        <v>13</v>
      </c>
      <c r="B13" s="62" t="s">
        <v>219</v>
      </c>
      <c r="C13" s="65">
        <f>C12/C4</f>
        <v>0.44174960293245302</v>
      </c>
    </row>
    <row r="14" spans="1:6" ht="17">
      <c r="A14" s="54">
        <v>14</v>
      </c>
      <c r="B14" s="62" t="s">
        <v>220</v>
      </c>
      <c r="C14" s="63">
        <f>'Compte de résultat'!B80</f>
        <v>46512.713189020113</v>
      </c>
    </row>
    <row r="15" spans="1:6" ht="17">
      <c r="A15" s="54">
        <v>15</v>
      </c>
      <c r="B15" s="62" t="s">
        <v>221</v>
      </c>
      <c r="C15" s="65">
        <v>0.33329999999999999</v>
      </c>
    </row>
    <row r="16" spans="1:6" ht="17">
      <c r="A16" s="54">
        <v>16</v>
      </c>
      <c r="B16" s="59" t="s">
        <v>222</v>
      </c>
      <c r="C16" s="61">
        <f>'Compte de résultat'!B84</f>
        <v>31008.475459346744</v>
      </c>
    </row>
    <row r="17" spans="1:8" ht="17">
      <c r="A17" s="54">
        <v>17</v>
      </c>
      <c r="B17" s="59" t="s">
        <v>223</v>
      </c>
      <c r="C17" s="66">
        <f>C16/C5</f>
        <v>0.50826504392835337</v>
      </c>
    </row>
    <row r="18" spans="1:8" ht="17">
      <c r="A18" s="54">
        <v>18</v>
      </c>
      <c r="B18" s="62"/>
      <c r="C18" s="63"/>
    </row>
    <row r="19" spans="1:8" ht="17">
      <c r="A19" s="54">
        <v>19</v>
      </c>
      <c r="B19" s="62" t="s">
        <v>224</v>
      </c>
      <c r="C19" s="65">
        <f>1-'Données du cas'!B30</f>
        <v>1</v>
      </c>
    </row>
    <row r="20" spans="1:8" ht="17">
      <c r="A20" s="54">
        <v>20</v>
      </c>
      <c r="B20" s="59" t="s">
        <v>225</v>
      </c>
      <c r="C20" s="66">
        <f>C19*C17</f>
        <v>0.50826504392835337</v>
      </c>
      <c r="H20" s="55"/>
    </row>
    <row r="21" spans="1:8" ht="17">
      <c r="A21" s="54">
        <v>21</v>
      </c>
      <c r="B21" s="59" t="s">
        <v>226</v>
      </c>
      <c r="C21" s="66">
        <f>'Données du cas'!B30*'Perfo financière'!C17</f>
        <v>0</v>
      </c>
    </row>
    <row r="22" spans="1:8" ht="17">
      <c r="A22" s="54">
        <v>22</v>
      </c>
      <c r="B22" s="59" t="s">
        <v>227</v>
      </c>
      <c r="C22" s="66">
        <f>C19*(1-C15)*C13</f>
        <v>0.29451446027506645</v>
      </c>
    </row>
    <row r="23" spans="1:8" ht="18" thickBot="1">
      <c r="A23" s="56">
        <v>23</v>
      </c>
      <c r="B23" s="67" t="s">
        <v>228</v>
      </c>
      <c r="C23" s="68">
        <f>C19*(1-C15)*(C6/C5)*(C13-C11)</f>
        <v>0.21377599690548335</v>
      </c>
    </row>
    <row r="24" spans="1:8" ht="18">
      <c r="B24" s="72" t="s">
        <v>245</v>
      </c>
      <c r="C24" s="73">
        <f>'Données du cas'!B30*'Compte de résultat'!B84</f>
        <v>0</v>
      </c>
    </row>
  </sheetData>
  <mergeCells count="2">
    <mergeCell ref="B2:C2"/>
    <mergeCell ref="E3:F3"/>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Données du cas</vt:lpstr>
      <vt:lpstr>CA et CV</vt:lpstr>
      <vt:lpstr>Compte de résultat</vt:lpstr>
      <vt:lpstr>Bilan, FR, BFR, TR, CAF</vt:lpstr>
      <vt:lpstr>Plan de TVA</vt:lpstr>
      <vt:lpstr>Plan de trésorerie</vt:lpstr>
      <vt:lpstr>Perfo financière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Doriot</dc:creator>
  <cp:lastModifiedBy>Guy DORIOT</cp:lastModifiedBy>
  <cp:lastPrinted>2013-01-09T09:51:54Z</cp:lastPrinted>
  <dcterms:created xsi:type="dcterms:W3CDTF">2009-05-16T06:08:19Z</dcterms:created>
  <dcterms:modified xsi:type="dcterms:W3CDTF">2013-01-30T13:14:21Z</dcterms:modified>
</cp:coreProperties>
</file>