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autoCompressPictures="0"/>
  <bookViews>
    <workbookView xWindow="100" yWindow="120" windowWidth="25560" windowHeight="13640" tabRatio="500"/>
  </bookViews>
  <sheets>
    <sheet name="Voile légére" sheetId="1" r:id="rId1"/>
    <sheet name="Canoë-Kayak" sheetId="2" r:id="rId2"/>
    <sheet name="Char à voile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3" l="1"/>
  <c r="J5" i="3"/>
  <c r="G18" i="3"/>
  <c r="D4" i="3"/>
  <c r="D5" i="3"/>
  <c r="D6" i="3"/>
  <c r="R6" i="3"/>
  <c r="R9" i="3"/>
  <c r="L5" i="3"/>
  <c r="H18" i="3"/>
  <c r="F18" i="3"/>
  <c r="I18" i="3"/>
  <c r="B18" i="3"/>
  <c r="C18" i="3"/>
  <c r="J6" i="3"/>
  <c r="G19" i="3"/>
  <c r="L6" i="3"/>
  <c r="H19" i="3"/>
  <c r="I19" i="3"/>
  <c r="B19" i="3"/>
  <c r="C19" i="3"/>
  <c r="D19" i="3"/>
  <c r="D23" i="3"/>
  <c r="G14" i="2"/>
  <c r="D4" i="2"/>
  <c r="D5" i="2"/>
  <c r="D6" i="2"/>
  <c r="D8" i="2"/>
  <c r="D9" i="2"/>
  <c r="D10" i="2"/>
  <c r="M6" i="2"/>
  <c r="M9" i="2"/>
  <c r="G4" i="2"/>
  <c r="H14" i="2"/>
  <c r="F14" i="2"/>
  <c r="I14" i="2"/>
  <c r="B14" i="2"/>
  <c r="C14" i="2"/>
  <c r="G15" i="2"/>
  <c r="G5" i="2"/>
  <c r="H15" i="2"/>
  <c r="I15" i="2"/>
  <c r="B15" i="2"/>
  <c r="C15" i="2"/>
  <c r="D15" i="2"/>
  <c r="C18" i="2"/>
  <c r="L7" i="3"/>
  <c r="H20" i="3"/>
  <c r="J7" i="3"/>
  <c r="G20" i="3"/>
  <c r="I20" i="3"/>
  <c r="B20" i="3"/>
  <c r="G6" i="2"/>
  <c r="G7" i="2"/>
  <c r="H17" i="2"/>
  <c r="F6" i="2"/>
  <c r="F7" i="2"/>
  <c r="G17" i="2"/>
  <c r="G16" i="2"/>
  <c r="H16" i="2"/>
  <c r="H5" i="1"/>
  <c r="I5" i="1"/>
  <c r="G14" i="1"/>
  <c r="Q9" i="1"/>
  <c r="K5" i="1"/>
  <c r="H14" i="1"/>
  <c r="D4" i="1"/>
  <c r="D5" i="1"/>
  <c r="D6" i="1"/>
  <c r="D7" i="1"/>
  <c r="D9" i="1"/>
  <c r="F14" i="1"/>
  <c r="I14" i="1"/>
  <c r="B14" i="1"/>
  <c r="C14" i="1"/>
  <c r="I6" i="1"/>
  <c r="G15" i="1"/>
  <c r="K6" i="1"/>
  <c r="H15" i="1"/>
  <c r="I15" i="1"/>
  <c r="B15" i="1"/>
  <c r="C15" i="1"/>
  <c r="D15" i="1"/>
  <c r="J15" i="2"/>
  <c r="J16" i="2"/>
  <c r="J17" i="2"/>
  <c r="K17" i="2"/>
  <c r="I17" i="2"/>
  <c r="K16" i="2"/>
  <c r="I16" i="2"/>
  <c r="B16" i="2"/>
  <c r="C16" i="2"/>
  <c r="K15" i="2"/>
  <c r="K14" i="2"/>
  <c r="I7" i="1"/>
  <c r="G16" i="1"/>
  <c r="K7" i="1"/>
  <c r="H16" i="1"/>
  <c r="I16" i="1"/>
  <c r="B16" i="1"/>
  <c r="C16" i="1"/>
  <c r="K18" i="3"/>
  <c r="J19" i="3"/>
  <c r="K19" i="3"/>
  <c r="J20" i="3"/>
  <c r="K20" i="3"/>
  <c r="J21" i="3"/>
  <c r="G21" i="3"/>
  <c r="L8" i="3"/>
  <c r="H21" i="3"/>
  <c r="K21" i="3"/>
  <c r="H23" i="3"/>
  <c r="I21" i="3"/>
  <c r="G23" i="2"/>
  <c r="H23" i="2"/>
  <c r="I23" i="2"/>
  <c r="G24" i="2"/>
  <c r="H24" i="2"/>
  <c r="I24" i="2"/>
  <c r="M5" i="3"/>
  <c r="M6" i="3"/>
  <c r="C20" i="3"/>
  <c r="L5" i="1"/>
  <c r="L6" i="1"/>
  <c r="I8" i="1"/>
  <c r="G17" i="1"/>
  <c r="K8" i="1"/>
  <c r="H17" i="1"/>
  <c r="I17" i="1"/>
  <c r="G27" i="3"/>
  <c r="H27" i="3"/>
  <c r="F27" i="3"/>
  <c r="I27" i="3"/>
  <c r="G28" i="3"/>
  <c r="H28" i="3"/>
  <c r="I28" i="3"/>
  <c r="G29" i="3"/>
  <c r="H29" i="3"/>
  <c r="I29" i="3"/>
  <c r="J8" i="3"/>
  <c r="G30" i="3"/>
  <c r="H30" i="3"/>
  <c r="I30" i="3"/>
  <c r="K32" i="3"/>
  <c r="G22" i="2"/>
  <c r="H22" i="2"/>
  <c r="F22" i="2"/>
  <c r="I22" i="2"/>
  <c r="G25" i="2"/>
  <c r="H25" i="2"/>
  <c r="I25" i="2"/>
  <c r="K27" i="2"/>
  <c r="G22" i="1"/>
  <c r="H22" i="1"/>
  <c r="I22" i="1"/>
  <c r="G23" i="1"/>
  <c r="H23" i="1"/>
  <c r="I23" i="1"/>
  <c r="G24" i="1"/>
  <c r="H24" i="1"/>
  <c r="I24" i="1"/>
  <c r="G25" i="1"/>
  <c r="H25" i="1"/>
  <c r="I25" i="1"/>
  <c r="K27" i="1"/>
  <c r="O6" i="3"/>
  <c r="K27" i="3"/>
  <c r="J28" i="3"/>
  <c r="J29" i="3"/>
  <c r="K29" i="3"/>
  <c r="J30" i="3"/>
  <c r="K30" i="3"/>
  <c r="K28" i="3"/>
  <c r="K4" i="2"/>
  <c r="H5" i="2"/>
  <c r="J5" i="2"/>
  <c r="K5" i="2"/>
  <c r="H6" i="2"/>
  <c r="J6" i="2"/>
  <c r="K6" i="2"/>
  <c r="H7" i="2"/>
  <c r="J7" i="2"/>
  <c r="K7" i="2"/>
  <c r="H18" i="2"/>
  <c r="H4" i="2"/>
  <c r="K22" i="2"/>
  <c r="J23" i="2"/>
  <c r="J24" i="2"/>
  <c r="K24" i="2"/>
  <c r="J25" i="2"/>
  <c r="K25" i="2"/>
  <c r="K23" i="2"/>
  <c r="J23" i="1"/>
  <c r="J24" i="1"/>
  <c r="K24" i="1"/>
  <c r="J25" i="1"/>
  <c r="K25" i="1"/>
  <c r="K23" i="1"/>
  <c r="J15" i="1"/>
  <c r="K15" i="1"/>
  <c r="J16" i="1"/>
  <c r="K16" i="1"/>
  <c r="J17" i="1"/>
  <c r="K17" i="1"/>
  <c r="K14" i="1"/>
  <c r="K22" i="1"/>
  <c r="H27" i="1"/>
  <c r="H32" i="3"/>
  <c r="H27" i="2"/>
  <c r="H18" i="1"/>
  <c r="P5" i="3"/>
  <c r="P6" i="3"/>
  <c r="M7" i="3"/>
  <c r="O7" i="3"/>
  <c r="P7" i="3"/>
  <c r="M8" i="3"/>
  <c r="O8" i="3"/>
  <c r="P8" i="3"/>
  <c r="N5" i="1"/>
  <c r="O5" i="1"/>
  <c r="N6" i="1"/>
  <c r="O6" i="1"/>
  <c r="L7" i="1"/>
  <c r="N7" i="1"/>
  <c r="O7" i="1"/>
  <c r="L8" i="1"/>
  <c r="N8" i="1"/>
  <c r="O8" i="1"/>
</calcChain>
</file>

<file path=xl/sharedStrings.xml><?xml version="1.0" encoding="utf-8"?>
<sst xmlns="http://schemas.openxmlformats.org/spreadsheetml/2006/main" count="187" uniqueCount="71">
  <si>
    <t>Années</t>
  </si>
  <si>
    <t>Nature</t>
  </si>
  <si>
    <t>Montant</t>
  </si>
  <si>
    <t>VAN</t>
  </si>
  <si>
    <t>"ACTIVITE VOILE LEGERE"</t>
  </si>
  <si>
    <t>Recettes sur 80 jours</t>
  </si>
  <si>
    <t>Dépenses annuelles</t>
  </si>
  <si>
    <t>Flux annuel brut</t>
  </si>
  <si>
    <t>Flux annuel actualisé</t>
  </si>
  <si>
    <t>Hypothèses</t>
  </si>
  <si>
    <t>Adultes</t>
  </si>
  <si>
    <t>Enfants</t>
  </si>
  <si>
    <t>Recettes annuelles totales sur 365 jours</t>
  </si>
  <si>
    <t>Total</t>
  </si>
  <si>
    <t>Bateau sécurisé</t>
  </si>
  <si>
    <t>Lot de bouées</t>
  </si>
  <si>
    <t>Bateau voile adulte</t>
  </si>
  <si>
    <t>Quantité</t>
  </si>
  <si>
    <t>Bateau voile enfant</t>
  </si>
  <si>
    <t>Coût unitaire</t>
  </si>
  <si>
    <t>Total investissement</t>
  </si>
  <si>
    <t>Personnel</t>
  </si>
  <si>
    <t>Entretien</t>
  </si>
  <si>
    <t>Assurance</t>
  </si>
  <si>
    <t>Communication</t>
  </si>
  <si>
    <t>INVESTISSEMENTS EN ANNEE 0</t>
  </si>
  <si>
    <t>Dépenses annuelles constantes</t>
  </si>
  <si>
    <t xml:space="preserve">Taux d'actualisation i </t>
  </si>
  <si>
    <t>Coefficient d'actualisation</t>
  </si>
  <si>
    <t>Revente matériel</t>
  </si>
  <si>
    <t>ACTIVITE CANOE-KAYAK</t>
  </si>
  <si>
    <t>Bateau à moteur</t>
  </si>
  <si>
    <t>Combinaisons néoprènes</t>
  </si>
  <si>
    <t>Equipement de sécurité (en lots)</t>
  </si>
  <si>
    <t>Bouées de marquage</t>
  </si>
  <si>
    <t>Kayaks deux places</t>
  </si>
  <si>
    <t>Kayaks une place</t>
  </si>
  <si>
    <t>CASH FLOW D'EXPLOITATION</t>
  </si>
  <si>
    <t>ACTIVITE CHAR A VOILE</t>
  </si>
  <si>
    <t>Char à voile "adulte"</t>
  </si>
  <si>
    <t>Char à voile "enfant"</t>
  </si>
  <si>
    <t>Le prix de revente du matériel en fin de 4eme année a été fixé entre 10.000 € (valeur certaine) et 15.000 € (valeur bien négociée) soit 12.500 €.</t>
  </si>
  <si>
    <t>Recettes sur période estivale</t>
  </si>
  <si>
    <t>Location ponctuelle</t>
  </si>
  <si>
    <t>Stages découverte</t>
  </si>
  <si>
    <t>Stages de 5 jours</t>
  </si>
  <si>
    <t>Le taux d'augmentation de la première année a été pris à 7,5% (moyenne entre 5% et 10%)</t>
  </si>
  <si>
    <t>A0</t>
  </si>
  <si>
    <t>A1</t>
  </si>
  <si>
    <t>A2</t>
  </si>
  <si>
    <t>ANNEE</t>
  </si>
  <si>
    <t>INVESTISSEMENTS</t>
  </si>
  <si>
    <t>RECETTES</t>
  </si>
  <si>
    <t>DEPENSES</t>
  </si>
  <si>
    <t>coefficient d'actualisation</t>
  </si>
  <si>
    <t>FLUX BRUT</t>
  </si>
  <si>
    <t>FLUX ACTUALISE</t>
  </si>
  <si>
    <t>1 ou 0,91</t>
  </si>
  <si>
    <t>TRI</t>
  </si>
  <si>
    <t>Recettes annuelles totales sur 365 jours à + 15%</t>
  </si>
  <si>
    <t>Cash flow annuel brut</t>
  </si>
  <si>
    <t>Cumul cash flow brut à fin d'année</t>
  </si>
  <si>
    <t>Date du point mort en nbre de mois à partir du début de l'année 0</t>
  </si>
  <si>
    <t>12 mois en année 0 + 2,09 mois en année 1</t>
  </si>
  <si>
    <t>ROI</t>
  </si>
  <si>
    <t>Le flux brut (recettes-dépenses) est comptabilisé en année zéro mais sans actualisation.</t>
  </si>
  <si>
    <t xml:space="preserve"> Les investissements sont comptabilisés mais ne sont pas actualisés en année zéro.</t>
  </si>
  <si>
    <t>Le flux brut (recettes-dépenses) est comptabilisé en année zéro avec actualisation à 0,91.</t>
  </si>
  <si>
    <t>12 mois en année 0 + 4,81 mois en année 1</t>
  </si>
  <si>
    <t>Le flux brut (recettes-dépenses) est comptabilisé en année zéro mais avec actualisation à 0,91</t>
  </si>
  <si>
    <t>12 mois en année 0 + 4,68 mois en année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</si>
</sst>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2"/>
      <color theme="1"/>
      <name val="Calibri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20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6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horizontal="center"/>
    </xf>
    <xf numFmtId="0" fontId="1" fillId="0" borderId="7" xfId="0" applyFont="1" applyBorder="1"/>
    <xf numFmtId="0" fontId="0" fillId="0" borderId="11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5" xfId="0" applyNumberFormat="1" applyBorder="1"/>
    <xf numFmtId="4" fontId="0" fillId="0" borderId="11" xfId="0" applyNumberFormat="1" applyBorder="1"/>
    <xf numFmtId="4" fontId="0" fillId="0" borderId="6" xfId="0" applyNumberFormat="1" applyBorder="1"/>
    <xf numFmtId="4" fontId="0" fillId="0" borderId="4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4" xfId="0" applyNumberFormat="1" applyBorder="1"/>
    <xf numFmtId="4" fontId="1" fillId="0" borderId="9" xfId="0" applyNumberFormat="1" applyFont="1" applyBorder="1" applyAlignment="1">
      <alignment horizontal="center"/>
    </xf>
    <xf numFmtId="4" fontId="0" fillId="0" borderId="8" xfId="0" applyNumberFormat="1" applyBorder="1"/>
    <xf numFmtId="4" fontId="0" fillId="0" borderId="9" xfId="0" applyNumberFormat="1" applyBorder="1"/>
    <xf numFmtId="4" fontId="1" fillId="0" borderId="7" xfId="0" applyNumberFormat="1" applyFont="1" applyBorder="1"/>
    <xf numFmtId="4" fontId="0" fillId="0" borderId="12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4" fontId="0" fillId="0" borderId="0" xfId="0" applyNumberFormat="1"/>
    <xf numFmtId="4" fontId="0" fillId="0" borderId="0" xfId="0" applyNumberFormat="1" applyBorder="1" applyAlignment="1">
      <alignment horizontal="center"/>
    </xf>
    <xf numFmtId="4" fontId="0" fillId="0" borderId="0" xfId="0" applyNumberFormat="1" applyBorder="1"/>
    <xf numFmtId="4" fontId="1" fillId="0" borderId="0" xfId="0" applyNumberFormat="1" applyFont="1" applyBorder="1"/>
    <xf numFmtId="4" fontId="1" fillId="0" borderId="0" xfId="0" applyNumberFormat="1" applyFont="1" applyBorder="1" applyAlignment="1">
      <alignment horizontal="center"/>
    </xf>
    <xf numFmtId="4" fontId="0" fillId="0" borderId="5" xfId="0" applyNumberFormat="1" applyBorder="1" applyAlignment="1">
      <alignment horizontal="center" wrapText="1"/>
    </xf>
    <xf numFmtId="4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/>
    <xf numFmtId="1" fontId="0" fillId="0" borderId="4" xfId="0" applyNumberForma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1" fontId="0" fillId="0" borderId="4" xfId="0" applyNumberFormat="1" applyBorder="1"/>
    <xf numFmtId="1" fontId="0" fillId="0" borderId="6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/>
    <xf numFmtId="1" fontId="0" fillId="0" borderId="11" xfId="0" applyNumberFormat="1" applyBorder="1"/>
    <xf numFmtId="1" fontId="0" fillId="0" borderId="6" xfId="0" applyNumberFormat="1" applyBorder="1"/>
    <xf numFmtId="1" fontId="1" fillId="0" borderId="7" xfId="0" applyNumberFormat="1" applyFont="1" applyBorder="1"/>
    <xf numFmtId="1" fontId="0" fillId="0" borderId="8" xfId="0" applyNumberForma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/>
    <xf numFmtId="1" fontId="0" fillId="0" borderId="12" xfId="0" applyNumberFormat="1" applyBorder="1" applyAlignment="1">
      <alignment horizontal="center"/>
    </xf>
    <xf numFmtId="1" fontId="0" fillId="0" borderId="9" xfId="0" applyNumberFormat="1" applyBorder="1"/>
    <xf numFmtId="3" fontId="4" fillId="0" borderId="0" xfId="0" applyNumberFormat="1" applyFont="1" applyAlignment="1">
      <alignment horizontal="center"/>
    </xf>
    <xf numFmtId="3" fontId="0" fillId="0" borderId="5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10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3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8" xfId="0" applyBorder="1"/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" fontId="0" fillId="0" borderId="0" xfId="0" applyNumberFormat="1" applyFill="1" applyBorder="1"/>
    <xf numFmtId="0" fontId="4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left"/>
    </xf>
    <xf numFmtId="1" fontId="0" fillId="0" borderId="10" xfId="0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0" fillId="0" borderId="9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" fontId="0" fillId="0" borderId="5" xfId="0" applyNumberForma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0" fillId="0" borderId="19" xfId="0" applyNumberFormat="1" applyFill="1" applyBorder="1" applyAlignment="1">
      <alignment horizontal="center"/>
    </xf>
    <xf numFmtId="1" fontId="0" fillId="0" borderId="20" xfId="0" applyNumberFormat="1" applyFill="1" applyBorder="1" applyAlignment="1">
      <alignment horizontal="center"/>
    </xf>
    <xf numFmtId="1" fontId="0" fillId="0" borderId="21" xfId="0" applyNumberFormat="1" applyFill="1" applyBorder="1" applyAlignment="1">
      <alignment horizontal="center"/>
    </xf>
    <xf numFmtId="1" fontId="0" fillId="0" borderId="22" xfId="0" applyNumberFormat="1" applyFill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</cellXfs>
  <cellStyles count="20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>
        <c:manualLayout>
          <c:xMode val="edge"/>
          <c:yMode val="edge"/>
          <c:x val="0.46411856474259"/>
          <c:y val="0.0231481481481481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Voile légére</c:v>
          </c:tx>
          <c:invertIfNegative val="0"/>
          <c:val>
            <c:numRef>
              <c:f>'Voile légére'!$K$22:$K$25</c:f>
              <c:numCache>
                <c:formatCode>#,##0</c:formatCode>
                <c:ptCount val="4"/>
                <c:pt idx="0">
                  <c:v>-11418.0</c:v>
                </c:pt>
                <c:pt idx="1">
                  <c:v>36929.7520661157</c:v>
                </c:pt>
                <c:pt idx="2">
                  <c:v>33572.501878287</c:v>
                </c:pt>
                <c:pt idx="3">
                  <c:v>35984.56389590874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21694776"/>
        <c:axId val="2133049016"/>
      </c:barChart>
      <c:catAx>
        <c:axId val="2121694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Années</a:t>
                </a:r>
              </a:p>
            </c:rich>
          </c:tx>
          <c:layout>
            <c:manualLayout>
              <c:xMode val="edge"/>
              <c:yMode val="edge"/>
              <c:x val="0.893650043744532"/>
              <c:y val="0.652777777777778"/>
            </c:manualLayout>
          </c:layout>
          <c:overlay val="0"/>
        </c:title>
        <c:majorTickMark val="out"/>
        <c:minorTickMark val="none"/>
        <c:tickLblPos val="nextTo"/>
        <c:crossAx val="2133049016"/>
        <c:crosses val="autoZero"/>
        <c:auto val="1"/>
        <c:lblAlgn val="ctr"/>
        <c:lblOffset val="100"/>
        <c:noMultiLvlLbl val="0"/>
      </c:catAx>
      <c:valAx>
        <c:axId val="213304901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Flux </a:t>
                </a:r>
              </a:p>
              <a:p>
                <a:pPr>
                  <a:defRPr/>
                </a:pPr>
                <a:r>
                  <a:rPr lang="fr-FR"/>
                  <a:t>actualisé</a:t>
                </a:r>
              </a:p>
            </c:rich>
          </c:tx>
          <c:layout>
            <c:manualLayout>
              <c:xMode val="edge"/>
              <c:yMode val="edge"/>
              <c:x val="0.144444444444444"/>
              <c:y val="0.047685185185185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121694776"/>
        <c:crossesAt val="-1.0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394750656168"/>
          <c:y val="0.0363636363636364"/>
          <c:w val="0.66605249343832"/>
          <c:h val="0.81363636363636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'Canoë-Kayak'!$K$22:$K$25</c:f>
              <c:numCache>
                <c:formatCode>#,##0</c:formatCode>
                <c:ptCount val="4"/>
                <c:pt idx="0">
                  <c:v>-14436.36363636364</c:v>
                </c:pt>
                <c:pt idx="1">
                  <c:v>25008.26446280992</c:v>
                </c:pt>
                <c:pt idx="2">
                  <c:v>22734.78587528174</c:v>
                </c:pt>
                <c:pt idx="3">
                  <c:v>20667.98715934703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19800040"/>
        <c:axId val="2070904856"/>
      </c:barChart>
      <c:catAx>
        <c:axId val="2119800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Années</a:t>
                </a:r>
              </a:p>
            </c:rich>
          </c:tx>
          <c:layout>
            <c:manualLayout>
              <c:xMode val="edge"/>
              <c:yMode val="edge"/>
              <c:x val="0.895203193350831"/>
              <c:y val="0.62037037037037"/>
            </c:manualLayout>
          </c:layout>
          <c:overlay val="0"/>
        </c:title>
        <c:majorTickMark val="out"/>
        <c:minorTickMark val="none"/>
        <c:tickLblPos val="nextTo"/>
        <c:crossAx val="2070904856"/>
        <c:crosses val="autoZero"/>
        <c:auto val="1"/>
        <c:lblAlgn val="ctr"/>
        <c:lblOffset val="100"/>
        <c:noMultiLvlLbl val="0"/>
      </c:catAx>
      <c:valAx>
        <c:axId val="20709048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FLUX ACTUALISE</a:t>
                </a:r>
              </a:p>
            </c:rich>
          </c:tx>
          <c:layout>
            <c:manualLayout>
              <c:xMode val="edge"/>
              <c:yMode val="edge"/>
              <c:x val="0.025"/>
              <c:y val="0.0023148148148148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119800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'Char à voile'!$K$27:$K$30</c:f>
              <c:numCache>
                <c:formatCode>#,##0</c:formatCode>
                <c:ptCount val="4"/>
                <c:pt idx="0">
                  <c:v>-23454.54545454546</c:v>
                </c:pt>
                <c:pt idx="1">
                  <c:v>41349.173553719</c:v>
                </c:pt>
                <c:pt idx="2">
                  <c:v>37590.15777610818</c:v>
                </c:pt>
                <c:pt idx="3">
                  <c:v>42710.53889761627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29326424"/>
        <c:axId val="2129262664"/>
      </c:barChart>
      <c:catAx>
        <c:axId val="2129326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Années</a:t>
                </a:r>
              </a:p>
            </c:rich>
          </c:tx>
          <c:layout>
            <c:manualLayout>
              <c:xMode val="edge"/>
              <c:yMode val="edge"/>
              <c:x val="0.879886415060186"/>
              <c:y val="0.569444444444444"/>
            </c:manualLayout>
          </c:layout>
          <c:overlay val="0"/>
        </c:title>
        <c:majorTickMark val="out"/>
        <c:minorTickMark val="none"/>
        <c:tickLblPos val="nextTo"/>
        <c:crossAx val="2129262664"/>
        <c:crosses val="autoZero"/>
        <c:auto val="1"/>
        <c:lblAlgn val="ctr"/>
        <c:lblOffset val="100"/>
        <c:noMultiLvlLbl val="0"/>
      </c:catAx>
      <c:valAx>
        <c:axId val="212926266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Flux </a:t>
                </a:r>
              </a:p>
              <a:p>
                <a:pPr>
                  <a:defRPr/>
                </a:pPr>
                <a:r>
                  <a:rPr lang="fr-FR"/>
                  <a:t>actualisé</a:t>
                </a:r>
              </a:p>
            </c:rich>
          </c:tx>
          <c:layout>
            <c:manualLayout>
              <c:xMode val="edge"/>
              <c:yMode val="edge"/>
              <c:x val="0.0459770114942529"/>
              <c:y val="0.0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129326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12</xdr:row>
      <xdr:rowOff>133350</xdr:rowOff>
    </xdr:from>
    <xdr:to>
      <xdr:col>16</xdr:col>
      <xdr:colOff>196850</xdr:colOff>
      <xdr:row>24</xdr:row>
      <xdr:rowOff>146050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590550</xdr:colOff>
      <xdr:row>10</xdr:row>
      <xdr:rowOff>12700</xdr:rowOff>
    </xdr:from>
    <xdr:to>
      <xdr:col>17</xdr:col>
      <xdr:colOff>209550</xdr:colOff>
      <xdr:row>30</xdr:row>
      <xdr:rowOff>127000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368300</xdr:colOff>
      <xdr:row>20</xdr:row>
      <xdr:rowOff>82550</xdr:rowOff>
    </xdr:from>
    <xdr:to>
      <xdr:col>16</xdr:col>
      <xdr:colOff>660400</xdr:colOff>
      <xdr:row>34</xdr:row>
      <xdr:rowOff>165100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workbookViewId="0">
      <selection activeCell="E9" sqref="E9"/>
    </sheetView>
  </sheetViews>
  <sheetFormatPr baseColWidth="10" defaultRowHeight="15" x14ac:dyDescent="0"/>
  <cols>
    <col min="1" max="1" width="18" bestFit="1" customWidth="1"/>
    <col min="2" max="2" width="11.1640625" customWidth="1"/>
    <col min="3" max="3" width="13.1640625" bestFit="1" customWidth="1"/>
    <col min="4" max="4" width="20.1640625" customWidth="1"/>
    <col min="5" max="5" width="9.1640625" customWidth="1"/>
    <col min="6" max="6" width="16.1640625" bestFit="1" customWidth="1"/>
    <col min="7" max="7" width="15.6640625" customWidth="1"/>
    <col min="8" max="8" width="13.33203125" customWidth="1"/>
    <col min="9" max="9" width="14.6640625" customWidth="1"/>
    <col min="10" max="10" width="14.5" customWidth="1"/>
    <col min="11" max="11" width="11.5" customWidth="1"/>
    <col min="12" max="12" width="10.5" bestFit="1" customWidth="1"/>
    <col min="13" max="13" width="12.83203125" customWidth="1"/>
    <col min="14" max="14" width="13.33203125" bestFit="1" customWidth="1"/>
    <col min="15" max="15" width="10.5" bestFit="1" customWidth="1"/>
    <col min="16" max="16" width="14.1640625" bestFit="1" customWidth="1"/>
    <col min="17" max="17" width="11" bestFit="1" customWidth="1"/>
  </cols>
  <sheetData>
    <row r="1" spans="1:17" ht="28" customHeight="1" thickBot="1">
      <c r="A1" s="126" t="s">
        <v>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7" ht="22" thickTop="1" thickBot="1">
      <c r="A2" s="123" t="s">
        <v>25</v>
      </c>
      <c r="B2" s="124"/>
      <c r="C2" s="124"/>
      <c r="D2" s="125"/>
      <c r="E2" s="123" t="s">
        <v>37</v>
      </c>
      <c r="F2" s="124"/>
      <c r="G2" s="124"/>
      <c r="H2" s="124"/>
      <c r="I2" s="124"/>
      <c r="J2" s="124"/>
      <c r="K2" s="124"/>
      <c r="L2" s="124"/>
      <c r="M2" s="127"/>
      <c r="N2" s="127"/>
      <c r="O2" s="125"/>
      <c r="P2" s="34"/>
      <c r="Q2" s="34"/>
    </row>
    <row r="3" spans="1:17" ht="62" customHeight="1" thickTop="1">
      <c r="A3" s="35" t="s">
        <v>1</v>
      </c>
      <c r="B3" s="36" t="s">
        <v>19</v>
      </c>
      <c r="C3" s="36" t="s">
        <v>17</v>
      </c>
      <c r="D3" s="37" t="s">
        <v>2</v>
      </c>
      <c r="E3" s="35" t="s">
        <v>0</v>
      </c>
      <c r="F3" s="117" t="s">
        <v>5</v>
      </c>
      <c r="G3" s="117"/>
      <c r="H3" s="117"/>
      <c r="I3" s="36" t="s">
        <v>59</v>
      </c>
      <c r="J3" s="36" t="s">
        <v>29</v>
      </c>
      <c r="K3" s="36" t="s">
        <v>6</v>
      </c>
      <c r="L3" s="36" t="s">
        <v>7</v>
      </c>
      <c r="M3" s="38" t="s">
        <v>27</v>
      </c>
      <c r="N3" s="38" t="s">
        <v>28</v>
      </c>
      <c r="O3" s="37" t="s">
        <v>8</v>
      </c>
      <c r="P3" s="121" t="s">
        <v>26</v>
      </c>
      <c r="Q3" s="122"/>
    </row>
    <row r="4" spans="1:17">
      <c r="A4" s="39" t="s">
        <v>14</v>
      </c>
      <c r="B4" s="21">
        <v>11750</v>
      </c>
      <c r="C4" s="21">
        <v>2</v>
      </c>
      <c r="D4" s="40">
        <f>B4*C4</f>
        <v>23500</v>
      </c>
      <c r="E4" s="41"/>
      <c r="F4" s="21" t="s">
        <v>10</v>
      </c>
      <c r="G4" s="21" t="s">
        <v>11</v>
      </c>
      <c r="H4" s="21" t="s">
        <v>13</v>
      </c>
      <c r="I4" s="42"/>
      <c r="J4" s="42"/>
      <c r="K4" s="42"/>
      <c r="L4" s="42"/>
      <c r="M4" s="43"/>
      <c r="N4" s="43"/>
      <c r="O4" s="44"/>
      <c r="P4" s="41" t="s">
        <v>1</v>
      </c>
      <c r="Q4" s="40" t="s">
        <v>2</v>
      </c>
    </row>
    <row r="5" spans="1:17">
      <c r="A5" s="39" t="s">
        <v>15</v>
      </c>
      <c r="B5" s="21">
        <v>500</v>
      </c>
      <c r="C5" s="21">
        <v>1</v>
      </c>
      <c r="D5" s="40">
        <f t="shared" ref="D5:D7" si="0">B5*C5</f>
        <v>500</v>
      </c>
      <c r="E5" s="41">
        <v>0</v>
      </c>
      <c r="F5" s="21">
        <v>41000</v>
      </c>
      <c r="G5" s="21">
        <v>37000</v>
      </c>
      <c r="H5" s="21">
        <f>F5+G5</f>
        <v>78000</v>
      </c>
      <c r="I5" s="21">
        <f>H5+0.15*H5</f>
        <v>89700</v>
      </c>
      <c r="J5" s="42"/>
      <c r="K5" s="21">
        <f>Q9</f>
        <v>49500</v>
      </c>
      <c r="L5" s="21">
        <f>I5-K5</f>
        <v>40200</v>
      </c>
      <c r="M5" s="66">
        <v>0.1</v>
      </c>
      <c r="N5" s="67">
        <f>1/(1+M5)</f>
        <v>0.90909090909090906</v>
      </c>
      <c r="O5" s="40">
        <f>L5*N5</f>
        <v>36545.454545454544</v>
      </c>
      <c r="P5" s="39" t="s">
        <v>21</v>
      </c>
      <c r="Q5" s="40">
        <v>39000</v>
      </c>
    </row>
    <row r="6" spans="1:17">
      <c r="A6" s="39" t="s">
        <v>16</v>
      </c>
      <c r="B6" s="21">
        <v>800</v>
      </c>
      <c r="C6" s="21">
        <v>15</v>
      </c>
      <c r="D6" s="40">
        <f t="shared" si="0"/>
        <v>12000</v>
      </c>
      <c r="E6" s="41">
        <v>1</v>
      </c>
      <c r="F6" s="42"/>
      <c r="G6" s="42"/>
      <c r="H6" s="42"/>
      <c r="I6" s="21">
        <f>I5*1.05</f>
        <v>94185</v>
      </c>
      <c r="J6" s="42"/>
      <c r="K6" s="21">
        <f>K5</f>
        <v>49500</v>
      </c>
      <c r="L6" s="21">
        <f t="shared" ref="L6:L7" si="1">I6-K6</f>
        <v>44685</v>
      </c>
      <c r="M6" s="66">
        <v>0.1</v>
      </c>
      <c r="N6" s="67">
        <f>N5/(1+M6)</f>
        <v>0.82644628099173545</v>
      </c>
      <c r="O6" s="40">
        <f t="shared" ref="O6:O8" si="2">L6*N6</f>
        <v>36929.752066115696</v>
      </c>
      <c r="P6" s="39" t="s">
        <v>22</v>
      </c>
      <c r="Q6" s="40">
        <v>7500</v>
      </c>
    </row>
    <row r="7" spans="1:17">
      <c r="A7" s="39" t="s">
        <v>18</v>
      </c>
      <c r="B7" s="21">
        <v>600</v>
      </c>
      <c r="C7" s="21">
        <v>20</v>
      </c>
      <c r="D7" s="40">
        <f t="shared" si="0"/>
        <v>12000</v>
      </c>
      <c r="E7" s="41">
        <v>2</v>
      </c>
      <c r="F7" s="42"/>
      <c r="G7" s="42"/>
      <c r="H7" s="42"/>
      <c r="I7" s="21">
        <f>I6</f>
        <v>94185</v>
      </c>
      <c r="J7" s="42"/>
      <c r="K7" s="21">
        <f>K6</f>
        <v>49500</v>
      </c>
      <c r="L7" s="21">
        <f t="shared" si="1"/>
        <v>44685</v>
      </c>
      <c r="M7" s="66">
        <v>0.1</v>
      </c>
      <c r="N7" s="67">
        <f>N6/(1+M7)</f>
        <v>0.75131480090157765</v>
      </c>
      <c r="O7" s="40">
        <f t="shared" si="2"/>
        <v>33572.501878286996</v>
      </c>
      <c r="P7" s="39" t="s">
        <v>23</v>
      </c>
      <c r="Q7" s="40">
        <v>2000</v>
      </c>
    </row>
    <row r="8" spans="1:17">
      <c r="A8" s="39"/>
      <c r="B8" s="21"/>
      <c r="C8" s="21"/>
      <c r="D8" s="40"/>
      <c r="E8" s="41">
        <v>3</v>
      </c>
      <c r="F8" s="42"/>
      <c r="G8" s="42"/>
      <c r="H8" s="42"/>
      <c r="I8" s="21">
        <f>I7</f>
        <v>94185</v>
      </c>
      <c r="J8" s="21">
        <v>8000</v>
      </c>
      <c r="K8" s="21">
        <f>K7</f>
        <v>49500</v>
      </c>
      <c r="L8" s="21">
        <f>I8+J8-K8</f>
        <v>52685</v>
      </c>
      <c r="M8" s="66">
        <v>0.1</v>
      </c>
      <c r="N8" s="67">
        <f>N7/(1+M8)</f>
        <v>0.68301345536507052</v>
      </c>
      <c r="O8" s="40">
        <f t="shared" si="2"/>
        <v>35984.563895908737</v>
      </c>
      <c r="P8" s="39" t="s">
        <v>24</v>
      </c>
      <c r="Q8" s="40">
        <v>1000</v>
      </c>
    </row>
    <row r="9" spans="1:17" ht="16" thickBot="1">
      <c r="A9" s="45" t="s">
        <v>20</v>
      </c>
      <c r="B9" s="46"/>
      <c r="C9" s="46"/>
      <c r="D9" s="47">
        <f>SUM(D4:D7)</f>
        <v>48000</v>
      </c>
      <c r="E9" s="48"/>
      <c r="F9" s="49"/>
      <c r="G9" s="49"/>
      <c r="H9" s="49"/>
      <c r="I9" s="49"/>
      <c r="J9" s="49"/>
      <c r="K9" s="49"/>
      <c r="L9" s="49"/>
      <c r="M9" s="50"/>
      <c r="N9" s="50"/>
      <c r="O9" s="51"/>
      <c r="P9" s="45" t="s">
        <v>13</v>
      </c>
      <c r="Q9" s="47">
        <f>SUM(Q5:Q8)</f>
        <v>49500</v>
      </c>
    </row>
    <row r="10" spans="1:17" ht="17" thickTop="1" thickBot="1"/>
    <row r="11" spans="1:17" ht="16" thickTop="1">
      <c r="A11" s="100"/>
      <c r="B11" s="100"/>
      <c r="C11" s="100"/>
      <c r="D11" s="100"/>
      <c r="E11" s="128" t="s">
        <v>65</v>
      </c>
      <c r="F11" s="129"/>
      <c r="G11" s="129"/>
      <c r="H11" s="129"/>
      <c r="I11" s="129"/>
      <c r="J11" s="129"/>
      <c r="K11" s="130"/>
    </row>
    <row r="12" spans="1:17" ht="16" thickBot="1">
      <c r="A12" s="99"/>
      <c r="B12" s="99"/>
      <c r="C12" s="99"/>
      <c r="D12" s="99"/>
      <c r="E12" s="131" t="s">
        <v>66</v>
      </c>
      <c r="F12" s="132"/>
      <c r="G12" s="132"/>
      <c r="H12" s="132"/>
      <c r="I12" s="132"/>
      <c r="J12" s="132"/>
      <c r="K12" s="133"/>
    </row>
    <row r="13" spans="1:17" ht="45" customHeight="1" thickTop="1">
      <c r="A13" s="73" t="s">
        <v>0</v>
      </c>
      <c r="B13" s="74" t="s">
        <v>60</v>
      </c>
      <c r="C13" s="74" t="s">
        <v>61</v>
      </c>
      <c r="D13" s="101" t="s">
        <v>62</v>
      </c>
      <c r="E13" s="1" t="s">
        <v>50</v>
      </c>
      <c r="F13" s="96" t="s">
        <v>51</v>
      </c>
      <c r="G13" s="104" t="s">
        <v>52</v>
      </c>
      <c r="H13" s="104" t="s">
        <v>53</v>
      </c>
      <c r="I13" s="104" t="s">
        <v>55</v>
      </c>
      <c r="J13" s="96" t="s">
        <v>54</v>
      </c>
      <c r="K13" s="105" t="s">
        <v>56</v>
      </c>
    </row>
    <row r="14" spans="1:17">
      <c r="A14" s="41" t="s">
        <v>47</v>
      </c>
      <c r="B14" s="21">
        <f>I14</f>
        <v>-7800</v>
      </c>
      <c r="C14" s="21">
        <f>B14</f>
        <v>-7800</v>
      </c>
      <c r="D14" s="102"/>
      <c r="E14" s="59">
        <v>0</v>
      </c>
      <c r="F14" s="53">
        <f>D9</f>
        <v>48000</v>
      </c>
      <c r="G14" s="53">
        <f>I5</f>
        <v>89700</v>
      </c>
      <c r="H14" s="53">
        <f>K5</f>
        <v>49500</v>
      </c>
      <c r="I14" s="53">
        <f>G14-H14-F14</f>
        <v>-7800</v>
      </c>
      <c r="J14" s="53">
        <v>1</v>
      </c>
      <c r="K14" s="69">
        <f>J14*(G14-F14-H14)</f>
        <v>-7800</v>
      </c>
    </row>
    <row r="15" spans="1:17">
      <c r="A15" s="41" t="s">
        <v>48</v>
      </c>
      <c r="B15" s="21">
        <f>I15</f>
        <v>44685</v>
      </c>
      <c r="C15" s="21">
        <f>C14+B15</f>
        <v>36885</v>
      </c>
      <c r="D15" s="103">
        <f>12+(-C14/(-C14+C15))*12</f>
        <v>14.094662638469284</v>
      </c>
      <c r="E15" s="59">
        <v>1</v>
      </c>
      <c r="F15" s="53">
        <v>0</v>
      </c>
      <c r="G15" s="53">
        <f>I6</f>
        <v>94185</v>
      </c>
      <c r="H15" s="53">
        <f>K6</f>
        <v>49500</v>
      </c>
      <c r="I15" s="53">
        <f t="shared" ref="I15:I17" si="3">G15-H15-F15</f>
        <v>44685</v>
      </c>
      <c r="J15" s="8">
        <f>1/(1+10%)</f>
        <v>0.90909090909090906</v>
      </c>
      <c r="K15" s="69">
        <f>J15*(G15-F15-H15)</f>
        <v>40622.727272727272</v>
      </c>
    </row>
    <row r="16" spans="1:17">
      <c r="A16" s="41" t="s">
        <v>49</v>
      </c>
      <c r="B16" s="21">
        <f>I16</f>
        <v>44685</v>
      </c>
      <c r="C16" s="21">
        <f>C15+B16</f>
        <v>81570</v>
      </c>
      <c r="E16" s="59">
        <v>2</v>
      </c>
      <c r="F16" s="53">
        <v>0</v>
      </c>
      <c r="G16" s="53">
        <f>I7</f>
        <v>94185</v>
      </c>
      <c r="H16" s="53">
        <f>K7</f>
        <v>49500</v>
      </c>
      <c r="I16" s="53">
        <f t="shared" si="3"/>
        <v>44685</v>
      </c>
      <c r="J16" s="8">
        <f>J15/(1+10%)</f>
        <v>0.82644628099173545</v>
      </c>
      <c r="K16" s="69">
        <f>J16*(G16-F16-H16)</f>
        <v>36929.752066115696</v>
      </c>
    </row>
    <row r="17" spans="1:11" ht="16" thickBot="1">
      <c r="A17" s="118" t="s">
        <v>63</v>
      </c>
      <c r="B17" s="119"/>
      <c r="C17" s="119"/>
      <c r="D17" s="120"/>
      <c r="E17" s="95">
        <v>3</v>
      </c>
      <c r="F17" s="61">
        <v>0</v>
      </c>
      <c r="G17" s="61">
        <f>I8+8000</f>
        <v>102185</v>
      </c>
      <c r="H17" s="61">
        <f>K8</f>
        <v>49500</v>
      </c>
      <c r="I17" s="61">
        <f t="shared" si="3"/>
        <v>52685</v>
      </c>
      <c r="J17" s="62">
        <f>J16/(1+10%)</f>
        <v>0.75131480090157765</v>
      </c>
      <c r="K17" s="70">
        <f>J17*(G17-F17-H17)</f>
        <v>39583.020285499617</v>
      </c>
    </row>
    <row r="18" spans="1:11" ht="30" thickTop="1" thickBot="1">
      <c r="B18" s="94" t="s">
        <v>64</v>
      </c>
      <c r="C18" s="94">
        <v>14.09</v>
      </c>
      <c r="G18" s="33" t="s">
        <v>3</v>
      </c>
      <c r="H18" s="52">
        <f>SUM(K14:K17)</f>
        <v>109335.49962434258</v>
      </c>
    </row>
    <row r="19" spans="1:11" ht="20" customHeight="1" thickTop="1">
      <c r="C19" s="94"/>
      <c r="D19" s="94"/>
      <c r="E19" s="111" t="s">
        <v>67</v>
      </c>
      <c r="F19" s="112"/>
      <c r="G19" s="112"/>
      <c r="H19" s="112"/>
      <c r="I19" s="112"/>
      <c r="J19" s="112"/>
      <c r="K19" s="113"/>
    </row>
    <row r="20" spans="1:11" ht="19" customHeight="1">
      <c r="C20" s="94"/>
      <c r="D20" s="94"/>
      <c r="E20" s="114" t="s">
        <v>66</v>
      </c>
      <c r="F20" s="115"/>
      <c r="G20" s="115"/>
      <c r="H20" s="115"/>
      <c r="I20" s="115"/>
      <c r="J20" s="115"/>
      <c r="K20" s="116"/>
    </row>
    <row r="21" spans="1:11" ht="30">
      <c r="E21" s="1" t="s">
        <v>50</v>
      </c>
      <c r="F21" s="96" t="s">
        <v>51</v>
      </c>
      <c r="G21" s="104" t="s">
        <v>52</v>
      </c>
      <c r="H21" s="104" t="s">
        <v>53</v>
      </c>
      <c r="I21" s="104" t="s">
        <v>55</v>
      </c>
      <c r="J21" s="96" t="s">
        <v>54</v>
      </c>
      <c r="K21" s="105" t="s">
        <v>56</v>
      </c>
    </row>
    <row r="22" spans="1:11">
      <c r="E22" s="59">
        <v>0</v>
      </c>
      <c r="F22" s="53">
        <v>48000</v>
      </c>
      <c r="G22" s="53">
        <f>I5</f>
        <v>89700</v>
      </c>
      <c r="H22" s="53">
        <f>K5</f>
        <v>49500</v>
      </c>
      <c r="I22" s="53">
        <f>G22-H22-F22</f>
        <v>-7800</v>
      </c>
      <c r="J22" s="53" t="s">
        <v>57</v>
      </c>
      <c r="K22" s="69">
        <f>-F22+(G22-H22)*0.91</f>
        <v>-11418</v>
      </c>
    </row>
    <row r="23" spans="1:11">
      <c r="E23" s="59">
        <v>1</v>
      </c>
      <c r="F23" s="53">
        <v>0</v>
      </c>
      <c r="G23" s="53">
        <f>I6</f>
        <v>94185</v>
      </c>
      <c r="H23" s="53">
        <f>K6</f>
        <v>49500</v>
      </c>
      <c r="I23" s="53">
        <f t="shared" ref="I23:I25" si="4">G23-H23-F23</f>
        <v>44685</v>
      </c>
      <c r="J23" s="8">
        <f>1/((1+10%)*(1+10%))</f>
        <v>0.82644628099173545</v>
      </c>
      <c r="K23" s="69">
        <f>-F23+(G23-H23)*J23</f>
        <v>36929.752066115696</v>
      </c>
    </row>
    <row r="24" spans="1:11">
      <c r="E24" s="59">
        <v>2</v>
      </c>
      <c r="F24" s="53">
        <v>0</v>
      </c>
      <c r="G24" s="53">
        <f>I7</f>
        <v>94185</v>
      </c>
      <c r="H24" s="53">
        <f>K7</f>
        <v>49500</v>
      </c>
      <c r="I24" s="53">
        <f t="shared" si="4"/>
        <v>44685</v>
      </c>
      <c r="J24" s="8">
        <f>J23/(1+10%)</f>
        <v>0.75131480090157765</v>
      </c>
      <c r="K24" s="69">
        <f>-F24+(G24-H24)*J24</f>
        <v>33572.501878286996</v>
      </c>
    </row>
    <row r="25" spans="1:11" ht="16" thickBot="1">
      <c r="E25" s="95">
        <v>3</v>
      </c>
      <c r="F25" s="61">
        <v>0</v>
      </c>
      <c r="G25" s="61">
        <f>I8+8000</f>
        <v>102185</v>
      </c>
      <c r="H25" s="61">
        <f>K8</f>
        <v>49500</v>
      </c>
      <c r="I25" s="61">
        <f t="shared" si="4"/>
        <v>52685</v>
      </c>
      <c r="J25" s="62">
        <f>J24/(1+10%)</f>
        <v>0.68301345536507052</v>
      </c>
      <c r="K25" s="70">
        <f>-F25+(G25-H25)*J25</f>
        <v>35984.563895908737</v>
      </c>
    </row>
    <row r="26" spans="1:11" ht="16" thickTop="1"/>
    <row r="27" spans="1:11" ht="28">
      <c r="G27" s="54" t="s">
        <v>3</v>
      </c>
      <c r="H27" s="52">
        <f>K22+K23+K24+K25</f>
        <v>95068.817840311429</v>
      </c>
      <c r="J27" s="98" t="s">
        <v>58</v>
      </c>
      <c r="K27" s="107">
        <f>IRR(I22:I25,30%)</f>
        <v>5.7293298262321217</v>
      </c>
    </row>
  </sheetData>
  <mergeCells count="10">
    <mergeCell ref="A2:D2"/>
    <mergeCell ref="A1:O1"/>
    <mergeCell ref="E2:O2"/>
    <mergeCell ref="E11:K11"/>
    <mergeCell ref="E12:K12"/>
    <mergeCell ref="E19:K19"/>
    <mergeCell ref="E20:K20"/>
    <mergeCell ref="F3:H3"/>
    <mergeCell ref="A17:D17"/>
    <mergeCell ref="P3:Q3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7" workbookViewId="0">
      <selection activeCell="G27" sqref="G27:H27"/>
    </sheetView>
  </sheetViews>
  <sheetFormatPr baseColWidth="10" defaultRowHeight="15" x14ac:dyDescent="0"/>
  <cols>
    <col min="1" max="1" width="38.5" bestFit="1" customWidth="1"/>
    <col min="4" max="4" width="16.33203125" customWidth="1"/>
    <col min="6" max="6" width="16.6640625" customWidth="1"/>
    <col min="8" max="8" width="12.5" bestFit="1" customWidth="1"/>
    <col min="9" max="9" width="10.83203125" customWidth="1"/>
    <col min="10" max="10" width="13.1640625" customWidth="1"/>
  </cols>
  <sheetData>
    <row r="1" spans="1:13" ht="29" thickBot="1">
      <c r="A1" s="144" t="s">
        <v>30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3" ht="22" thickTop="1" thickBot="1">
      <c r="A2" s="137" t="s">
        <v>25</v>
      </c>
      <c r="B2" s="138"/>
      <c r="C2" s="138"/>
      <c r="D2" s="139"/>
      <c r="E2" s="140" t="s">
        <v>37</v>
      </c>
      <c r="F2" s="138"/>
      <c r="G2" s="138"/>
      <c r="H2" s="138"/>
      <c r="I2" s="141"/>
      <c r="J2" s="141"/>
      <c r="K2" s="139"/>
    </row>
    <row r="3" spans="1:13" ht="46" thickTop="1">
      <c r="A3" s="1" t="s">
        <v>1</v>
      </c>
      <c r="B3" s="65" t="s">
        <v>19</v>
      </c>
      <c r="C3" s="65" t="s">
        <v>17</v>
      </c>
      <c r="D3" s="3" t="s">
        <v>2</v>
      </c>
      <c r="E3" s="78" t="s">
        <v>0</v>
      </c>
      <c r="F3" s="2" t="s">
        <v>12</v>
      </c>
      <c r="G3" s="2" t="s">
        <v>6</v>
      </c>
      <c r="H3" s="2" t="s">
        <v>7</v>
      </c>
      <c r="I3" s="7" t="s">
        <v>27</v>
      </c>
      <c r="J3" s="7" t="s">
        <v>28</v>
      </c>
      <c r="K3" s="3" t="s">
        <v>8</v>
      </c>
      <c r="L3" s="142" t="s">
        <v>26</v>
      </c>
      <c r="M3" s="143"/>
    </row>
    <row r="4" spans="1:13">
      <c r="A4" s="4" t="s">
        <v>31</v>
      </c>
      <c r="B4" s="8">
        <v>13000</v>
      </c>
      <c r="C4" s="21">
        <v>1</v>
      </c>
      <c r="D4" s="9">
        <f>B4*C4</f>
        <v>13000</v>
      </c>
      <c r="E4" s="79">
        <v>0</v>
      </c>
      <c r="F4" s="8">
        <v>65000</v>
      </c>
      <c r="G4" s="10">
        <f>M9</f>
        <v>39740</v>
      </c>
      <c r="H4" s="10">
        <f>F4-G4</f>
        <v>25260</v>
      </c>
      <c r="I4" s="14">
        <v>0.1</v>
      </c>
      <c r="J4" s="14">
        <v>1</v>
      </c>
      <c r="K4" s="12">
        <f>-D10+F4-G4</f>
        <v>-12140</v>
      </c>
      <c r="L4" s="13" t="s">
        <v>1</v>
      </c>
      <c r="M4" s="9" t="s">
        <v>2</v>
      </c>
    </row>
    <row r="5" spans="1:13">
      <c r="A5" s="4" t="s">
        <v>32</v>
      </c>
      <c r="B5" s="8">
        <v>80</v>
      </c>
      <c r="C5" s="21">
        <v>30</v>
      </c>
      <c r="D5" s="9">
        <f t="shared" ref="D5:D9" si="0">B5*C5</f>
        <v>2400</v>
      </c>
      <c r="E5" s="79">
        <v>1</v>
      </c>
      <c r="F5" s="8">
        <v>70000</v>
      </c>
      <c r="G5" s="10">
        <f>G4</f>
        <v>39740</v>
      </c>
      <c r="H5" s="10">
        <f t="shared" ref="H5:H7" si="1">F5-G5</f>
        <v>30260</v>
      </c>
      <c r="I5" s="14">
        <v>0.1</v>
      </c>
      <c r="J5" s="14">
        <f>1/(1+I4)</f>
        <v>0.90909090909090906</v>
      </c>
      <c r="K5" s="12">
        <f>H5*J5</f>
        <v>27509.090909090908</v>
      </c>
      <c r="L5" s="15" t="s">
        <v>21</v>
      </c>
      <c r="M5" s="9">
        <v>34000</v>
      </c>
    </row>
    <row r="6" spans="1:13">
      <c r="A6" s="4" t="s">
        <v>33</v>
      </c>
      <c r="B6" s="8">
        <v>50</v>
      </c>
      <c r="C6" s="21">
        <v>30</v>
      </c>
      <c r="D6" s="9">
        <f t="shared" si="0"/>
        <v>1500</v>
      </c>
      <c r="E6" s="79">
        <v>2</v>
      </c>
      <c r="F6" s="8">
        <f>F5</f>
        <v>70000</v>
      </c>
      <c r="G6" s="10">
        <f>G5</f>
        <v>39740</v>
      </c>
      <c r="H6" s="10">
        <f t="shared" si="1"/>
        <v>30260</v>
      </c>
      <c r="I6" s="14">
        <v>0.1</v>
      </c>
      <c r="J6" s="14">
        <f>J5/(1+I5)</f>
        <v>0.82644628099173545</v>
      </c>
      <c r="K6" s="12">
        <f t="shared" ref="K6:K7" si="2">H6*J6</f>
        <v>25008.264462809915</v>
      </c>
      <c r="L6" s="15" t="s">
        <v>22</v>
      </c>
      <c r="M6" s="9">
        <f>10%*D10</f>
        <v>3740</v>
      </c>
    </row>
    <row r="7" spans="1:13">
      <c r="A7" s="4" t="s">
        <v>34</v>
      </c>
      <c r="B7" s="5"/>
      <c r="C7" s="21"/>
      <c r="D7" s="9">
        <v>500</v>
      </c>
      <c r="E7" s="79">
        <v>3</v>
      </c>
      <c r="F7" s="8">
        <f>F6</f>
        <v>70000</v>
      </c>
      <c r="G7" s="10">
        <f>G6</f>
        <v>39740</v>
      </c>
      <c r="H7" s="10">
        <f t="shared" si="1"/>
        <v>30260</v>
      </c>
      <c r="I7" s="14">
        <v>0.1</v>
      </c>
      <c r="J7" s="14">
        <f>J6/(1+I6)</f>
        <v>0.75131480090157765</v>
      </c>
      <c r="K7" s="12">
        <f t="shared" si="2"/>
        <v>22734.785875281741</v>
      </c>
      <c r="L7" s="15" t="s">
        <v>23</v>
      </c>
      <c r="M7" s="9">
        <v>2000</v>
      </c>
    </row>
    <row r="8" spans="1:13">
      <c r="A8" s="4" t="s">
        <v>36</v>
      </c>
      <c r="B8" s="22">
        <v>800</v>
      </c>
      <c r="C8" s="21">
        <v>10</v>
      </c>
      <c r="D8" s="9">
        <f t="shared" si="0"/>
        <v>8000</v>
      </c>
      <c r="L8" s="15"/>
      <c r="M8" s="9"/>
    </row>
    <row r="9" spans="1:13" ht="16" thickBot="1">
      <c r="A9" s="4" t="s">
        <v>35</v>
      </c>
      <c r="B9" s="8">
        <v>1200</v>
      </c>
      <c r="C9" s="21">
        <v>10</v>
      </c>
      <c r="D9" s="9">
        <f t="shared" si="0"/>
        <v>12000</v>
      </c>
      <c r="E9" s="80"/>
      <c r="F9" s="17"/>
      <c r="G9" s="17"/>
      <c r="H9" s="17"/>
      <c r="I9" s="20"/>
      <c r="J9" s="20"/>
      <c r="K9" s="18"/>
      <c r="L9" s="19" t="s">
        <v>13</v>
      </c>
      <c r="M9" s="16">
        <f>SUM(M5:M8)</f>
        <v>39740</v>
      </c>
    </row>
    <row r="10" spans="1:13" ht="17" thickTop="1" thickBot="1">
      <c r="A10" s="6" t="s">
        <v>20</v>
      </c>
      <c r="B10" s="81"/>
      <c r="C10" s="81"/>
      <c r="D10" s="16">
        <f>SUM(D4:D9)</f>
        <v>37400</v>
      </c>
    </row>
    <row r="11" spans="1:13" ht="16" thickTop="1">
      <c r="E11" s="135" t="s">
        <v>65</v>
      </c>
      <c r="F11" s="135"/>
      <c r="G11" s="135"/>
      <c r="H11" s="135"/>
      <c r="I11" s="135"/>
      <c r="J11" s="135"/>
      <c r="K11" s="135"/>
    </row>
    <row r="12" spans="1:13" ht="16" thickBot="1">
      <c r="A12" s="93"/>
      <c r="E12" s="136" t="s">
        <v>66</v>
      </c>
      <c r="F12" s="136"/>
      <c r="G12" s="136"/>
      <c r="H12" s="136"/>
      <c r="I12" s="136"/>
      <c r="J12" s="136"/>
      <c r="K12" s="136"/>
    </row>
    <row r="13" spans="1:13" ht="61" thickTop="1">
      <c r="A13" s="73" t="s">
        <v>0</v>
      </c>
      <c r="B13" s="74" t="s">
        <v>60</v>
      </c>
      <c r="C13" s="74" t="s">
        <v>61</v>
      </c>
      <c r="D13" s="90" t="s">
        <v>62</v>
      </c>
      <c r="E13" s="91" t="s">
        <v>50</v>
      </c>
      <c r="F13" s="57" t="s">
        <v>51</v>
      </c>
      <c r="G13" s="58" t="s">
        <v>52</v>
      </c>
      <c r="H13" s="58" t="s">
        <v>53</v>
      </c>
      <c r="I13" s="58" t="s">
        <v>55</v>
      </c>
      <c r="J13" s="57" t="s">
        <v>54</v>
      </c>
      <c r="K13" s="68" t="s">
        <v>56</v>
      </c>
    </row>
    <row r="14" spans="1:13">
      <c r="A14" s="41" t="s">
        <v>47</v>
      </c>
      <c r="B14" s="21">
        <f>I14</f>
        <v>-12140</v>
      </c>
      <c r="C14" s="21">
        <f>B14</f>
        <v>-12140</v>
      </c>
      <c r="D14" s="40"/>
      <c r="E14" s="59">
        <v>0</v>
      </c>
      <c r="F14" s="53">
        <f>D10</f>
        <v>37400</v>
      </c>
      <c r="G14" s="53">
        <f>F4</f>
        <v>65000</v>
      </c>
      <c r="H14" s="53">
        <f>G4</f>
        <v>39740</v>
      </c>
      <c r="I14" s="53">
        <f>G14-H14-F14</f>
        <v>-12140</v>
      </c>
      <c r="J14" s="53">
        <v>1</v>
      </c>
      <c r="K14" s="69">
        <f>J14*(G14-F14-H14)</f>
        <v>-12140</v>
      </c>
    </row>
    <row r="15" spans="1:13">
      <c r="A15" s="41" t="s">
        <v>48</v>
      </c>
      <c r="B15" s="21">
        <f>I15</f>
        <v>30260</v>
      </c>
      <c r="C15" s="21">
        <f>C14+B15</f>
        <v>18120</v>
      </c>
      <c r="D15" s="75">
        <f>12+(-C14/(-C14+C15))*12</f>
        <v>16.814276272306675</v>
      </c>
      <c r="E15" s="59">
        <v>1</v>
      </c>
      <c r="F15" s="53">
        <v>0</v>
      </c>
      <c r="G15" s="53">
        <f>F5</f>
        <v>70000</v>
      </c>
      <c r="H15" s="53">
        <f t="shared" ref="H15:H17" si="3">G5</f>
        <v>39740</v>
      </c>
      <c r="I15" s="53">
        <f t="shared" ref="I15:I17" si="4">G15-H15-F15</f>
        <v>30260</v>
      </c>
      <c r="J15" s="8">
        <f>1/(1+10%)</f>
        <v>0.90909090909090906</v>
      </c>
      <c r="K15" s="69">
        <f>J15*(G15-F15-H15)</f>
        <v>27509.090909090908</v>
      </c>
    </row>
    <row r="16" spans="1:13">
      <c r="A16" s="41" t="s">
        <v>49</v>
      </c>
      <c r="B16" s="21">
        <f>I16</f>
        <v>30260</v>
      </c>
      <c r="C16" s="21">
        <f>C15+B16</f>
        <v>48380</v>
      </c>
      <c r="E16" s="59">
        <v>2</v>
      </c>
      <c r="F16" s="53">
        <v>0</v>
      </c>
      <c r="G16" s="53">
        <f>F6</f>
        <v>70000</v>
      </c>
      <c r="H16" s="53">
        <f t="shared" si="3"/>
        <v>39740</v>
      </c>
      <c r="I16" s="53">
        <f t="shared" si="4"/>
        <v>30260</v>
      </c>
      <c r="J16" s="8">
        <f>J15/(1+10%)</f>
        <v>0.82644628099173545</v>
      </c>
      <c r="K16" s="69">
        <f>J16*(G16-F16-H16)</f>
        <v>25008.264462809915</v>
      </c>
    </row>
    <row r="17" spans="1:11" ht="16" thickBot="1">
      <c r="A17" s="118" t="s">
        <v>68</v>
      </c>
      <c r="B17" s="119"/>
      <c r="C17" s="119"/>
      <c r="D17" s="134"/>
      <c r="E17" s="92">
        <v>3</v>
      </c>
      <c r="F17" s="61">
        <v>0</v>
      </c>
      <c r="G17" s="53">
        <f>F7</f>
        <v>70000</v>
      </c>
      <c r="H17" s="53">
        <f t="shared" si="3"/>
        <v>39740</v>
      </c>
      <c r="I17" s="61">
        <f t="shared" si="4"/>
        <v>30260</v>
      </c>
      <c r="J17" s="62">
        <f>J16/(1+10%)</f>
        <v>0.75131480090157765</v>
      </c>
      <c r="K17" s="70">
        <f>J17*(G17-F17-H17)</f>
        <v>22734.785875281741</v>
      </c>
    </row>
    <row r="18" spans="1:11" ht="29" thickTop="1">
      <c r="B18" s="98" t="s">
        <v>64</v>
      </c>
      <c r="C18" s="106">
        <f>D15</f>
        <v>16.814276272306675</v>
      </c>
      <c r="G18" s="98" t="s">
        <v>3</v>
      </c>
      <c r="H18" s="52">
        <f>K4+K5+K6+K7</f>
        <v>63112.141247182561</v>
      </c>
    </row>
    <row r="19" spans="1:11" ht="20" customHeight="1">
      <c r="B19" s="98"/>
      <c r="C19" s="106"/>
      <c r="E19" s="135" t="s">
        <v>69</v>
      </c>
      <c r="F19" s="135"/>
      <c r="G19" s="135"/>
      <c r="H19" s="135"/>
      <c r="I19" s="135"/>
      <c r="J19" s="135"/>
      <c r="K19" s="135"/>
    </row>
    <row r="20" spans="1:11" ht="16" thickBot="1">
      <c r="E20" s="136" t="s">
        <v>66</v>
      </c>
      <c r="F20" s="136"/>
      <c r="G20" s="136"/>
      <c r="H20" s="136"/>
      <c r="I20" s="136"/>
      <c r="J20" s="136"/>
      <c r="K20" s="136"/>
    </row>
    <row r="21" spans="1:11" ht="31" thickTop="1">
      <c r="E21" s="63" t="s">
        <v>50</v>
      </c>
      <c r="F21" s="57" t="s">
        <v>51</v>
      </c>
      <c r="G21" s="58" t="s">
        <v>52</v>
      </c>
      <c r="H21" s="58" t="s">
        <v>53</v>
      </c>
      <c r="I21" s="58" t="s">
        <v>55</v>
      </c>
      <c r="J21" s="57" t="s">
        <v>54</v>
      </c>
      <c r="K21" s="68" t="s">
        <v>56</v>
      </c>
    </row>
    <row r="22" spans="1:11">
      <c r="E22" s="59">
        <v>0</v>
      </c>
      <c r="F22" s="53">
        <f>D10</f>
        <v>37400</v>
      </c>
      <c r="G22" s="53">
        <f>F4</f>
        <v>65000</v>
      </c>
      <c r="H22" s="53">
        <f t="shared" ref="H22:H25" si="5">G4</f>
        <v>39740</v>
      </c>
      <c r="I22" s="53">
        <f>G22-H22-F22</f>
        <v>-12140</v>
      </c>
      <c r="J22" s="53" t="s">
        <v>57</v>
      </c>
      <c r="K22" s="69">
        <f>-F22+(G22-H22)*J5</f>
        <v>-14436.363636363636</v>
      </c>
    </row>
    <row r="23" spans="1:11">
      <c r="E23" s="59">
        <v>1</v>
      </c>
      <c r="F23" s="53">
        <v>0</v>
      </c>
      <c r="G23" s="53">
        <f>F5</f>
        <v>70000</v>
      </c>
      <c r="H23" s="53">
        <f t="shared" si="5"/>
        <v>39740</v>
      </c>
      <c r="I23" s="53">
        <f>G23-H23-F23</f>
        <v>30260</v>
      </c>
      <c r="J23" s="8">
        <f>1/((1+10%)*(1+10%))</f>
        <v>0.82644628099173545</v>
      </c>
      <c r="K23" s="69">
        <f>(G23-H23)*J23</f>
        <v>25008.264462809915</v>
      </c>
    </row>
    <row r="24" spans="1:11">
      <c r="E24" s="59">
        <v>2</v>
      </c>
      <c r="F24" s="53">
        <v>0</v>
      </c>
      <c r="G24" s="53">
        <f>F6</f>
        <v>70000</v>
      </c>
      <c r="H24" s="53">
        <f t="shared" si="5"/>
        <v>39740</v>
      </c>
      <c r="I24" s="53">
        <f>G24-H24-F24</f>
        <v>30260</v>
      </c>
      <c r="J24" s="8">
        <f>J23/(1+10%)</f>
        <v>0.75131480090157765</v>
      </c>
      <c r="K24" s="69">
        <f>(G24-H24)*J24</f>
        <v>22734.785875281741</v>
      </c>
    </row>
    <row r="25" spans="1:11" ht="16" thickBot="1">
      <c r="E25" s="60">
        <v>3</v>
      </c>
      <c r="F25" s="61">
        <v>0</v>
      </c>
      <c r="G25" s="61">
        <f>F7</f>
        <v>70000</v>
      </c>
      <c r="H25" s="61">
        <f t="shared" si="5"/>
        <v>39740</v>
      </c>
      <c r="I25" s="61">
        <f>G25-H25-F25</f>
        <v>30260</v>
      </c>
      <c r="J25" s="62">
        <f>J24/(1+10%)</f>
        <v>0.68301345536507052</v>
      </c>
      <c r="K25" s="70">
        <f>(G25-H25)*J25</f>
        <v>20667.987159347034</v>
      </c>
    </row>
    <row r="26" spans="1:11" ht="16" thickTop="1"/>
    <row r="27" spans="1:11" ht="28">
      <c r="G27" s="55" t="s">
        <v>3</v>
      </c>
      <c r="H27" s="56">
        <f>K22+K23+K24+K25</f>
        <v>53974.673861075047</v>
      </c>
      <c r="J27" s="98" t="s">
        <v>58</v>
      </c>
      <c r="K27" s="107">
        <f>IRR(I22:I25,30%)</f>
        <v>2.4308645582996231</v>
      </c>
    </row>
  </sheetData>
  <mergeCells count="9">
    <mergeCell ref="L3:M3"/>
    <mergeCell ref="A1:M1"/>
    <mergeCell ref="E12:K12"/>
    <mergeCell ref="A17:D17"/>
    <mergeCell ref="E11:K11"/>
    <mergeCell ref="E19:K19"/>
    <mergeCell ref="E20:K20"/>
    <mergeCell ref="A2:D2"/>
    <mergeCell ref="E2:K2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H37" sqref="H37"/>
    </sheetView>
  </sheetViews>
  <sheetFormatPr baseColWidth="10" defaultRowHeight="15" x14ac:dyDescent="0"/>
  <cols>
    <col min="1" max="1" width="21.5" bestFit="1" customWidth="1"/>
    <col min="3" max="3" width="9.83203125" bestFit="1" customWidth="1"/>
    <col min="4" max="4" width="16.33203125" bestFit="1" customWidth="1"/>
    <col min="5" max="5" width="7.33203125" bestFit="1" customWidth="1"/>
    <col min="6" max="6" width="18" customWidth="1"/>
    <col min="8" max="8" width="16.6640625" bestFit="1" customWidth="1"/>
    <col min="9" max="9" width="11.1640625" customWidth="1"/>
    <col min="10" max="10" width="13.6640625" customWidth="1"/>
    <col min="11" max="11" width="15.33203125" customWidth="1"/>
    <col min="17" max="17" width="14.1640625" bestFit="1" customWidth="1"/>
  </cols>
  <sheetData>
    <row r="1" spans="1:18" ht="29" thickBot="1">
      <c r="A1" s="144" t="s">
        <v>38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</row>
    <row r="2" spans="1:18" ht="22" thickTop="1" thickBot="1">
      <c r="A2" s="137" t="s">
        <v>25</v>
      </c>
      <c r="B2" s="138"/>
      <c r="C2" s="138"/>
      <c r="D2" s="139"/>
      <c r="E2" s="137" t="s">
        <v>37</v>
      </c>
      <c r="F2" s="138"/>
      <c r="G2" s="138"/>
      <c r="H2" s="138"/>
      <c r="I2" s="138"/>
      <c r="J2" s="138"/>
      <c r="K2" s="138"/>
      <c r="L2" s="138"/>
      <c r="M2" s="138"/>
      <c r="N2" s="141"/>
      <c r="O2" s="141"/>
      <c r="P2" s="139"/>
    </row>
    <row r="3" spans="1:18" ht="61" thickTop="1">
      <c r="A3" s="1" t="s">
        <v>1</v>
      </c>
      <c r="B3" s="72" t="s">
        <v>19</v>
      </c>
      <c r="C3" s="72" t="s">
        <v>17</v>
      </c>
      <c r="D3" s="3" t="s">
        <v>2</v>
      </c>
      <c r="E3" s="1" t="s">
        <v>0</v>
      </c>
      <c r="F3" s="145" t="s">
        <v>42</v>
      </c>
      <c r="G3" s="145"/>
      <c r="H3" s="145"/>
      <c r="I3" s="145"/>
      <c r="J3" s="2" t="s">
        <v>12</v>
      </c>
      <c r="K3" s="2" t="s">
        <v>29</v>
      </c>
      <c r="L3" s="2" t="s">
        <v>6</v>
      </c>
      <c r="M3" s="2" t="s">
        <v>7</v>
      </c>
      <c r="N3" s="7" t="s">
        <v>27</v>
      </c>
      <c r="O3" s="7" t="s">
        <v>28</v>
      </c>
      <c r="P3" s="3" t="s">
        <v>8</v>
      </c>
      <c r="Q3" s="142" t="s">
        <v>26</v>
      </c>
      <c r="R3" s="143"/>
    </row>
    <row r="4" spans="1:18" ht="30">
      <c r="A4" s="4" t="s">
        <v>39</v>
      </c>
      <c r="B4" s="8">
        <v>3000</v>
      </c>
      <c r="C4" s="21">
        <v>15</v>
      </c>
      <c r="D4" s="9">
        <f>B4*C4</f>
        <v>45000</v>
      </c>
      <c r="E4" s="13"/>
      <c r="F4" s="28" t="s">
        <v>43</v>
      </c>
      <c r="G4" s="28" t="s">
        <v>44</v>
      </c>
      <c r="H4" s="30" t="s">
        <v>45</v>
      </c>
      <c r="I4" s="29" t="s">
        <v>13</v>
      </c>
      <c r="J4" s="10"/>
      <c r="K4" s="10"/>
      <c r="L4" s="10"/>
      <c r="M4" s="10"/>
      <c r="N4" s="11"/>
      <c r="O4" s="11"/>
      <c r="P4" s="12"/>
      <c r="Q4" s="13" t="s">
        <v>1</v>
      </c>
      <c r="R4" s="9" t="s">
        <v>2</v>
      </c>
    </row>
    <row r="5" spans="1:18">
      <c r="A5" s="4" t="s">
        <v>40</v>
      </c>
      <c r="B5" s="8">
        <v>1200</v>
      </c>
      <c r="C5" s="21">
        <v>15</v>
      </c>
      <c r="D5" s="9">
        <f t="shared" ref="D5" si="0">B5*C5</f>
        <v>18000</v>
      </c>
      <c r="E5" s="31">
        <v>0</v>
      </c>
      <c r="F5" s="10">
        <v>15000</v>
      </c>
      <c r="G5" s="8">
        <v>12000</v>
      </c>
      <c r="H5" s="8">
        <v>40000</v>
      </c>
      <c r="I5" s="10">
        <f>F5+G5+H5</f>
        <v>67000</v>
      </c>
      <c r="J5" s="8">
        <f>I5*1.3</f>
        <v>87100</v>
      </c>
      <c r="K5" s="10"/>
      <c r="L5" s="10">
        <f>R9</f>
        <v>43600</v>
      </c>
      <c r="M5" s="10">
        <f>J5-L5</f>
        <v>43500</v>
      </c>
      <c r="N5" s="14">
        <v>0.1</v>
      </c>
      <c r="O5" s="14">
        <v>1</v>
      </c>
      <c r="P5" s="12">
        <f>M5*O5</f>
        <v>43500</v>
      </c>
      <c r="Q5" s="15" t="s">
        <v>21</v>
      </c>
      <c r="R5" s="9">
        <v>27000</v>
      </c>
    </row>
    <row r="6" spans="1:18" ht="16" thickBot="1">
      <c r="A6" s="6" t="s">
        <v>20</v>
      </c>
      <c r="B6" s="81"/>
      <c r="C6" s="81"/>
      <c r="D6" s="16">
        <f>SUM(D4:D5)</f>
        <v>63000</v>
      </c>
      <c r="E6" s="31">
        <v>1</v>
      </c>
      <c r="F6" s="10"/>
      <c r="G6" s="10"/>
      <c r="H6" s="10"/>
      <c r="I6" s="10"/>
      <c r="J6" s="8">
        <f>J5*1.075</f>
        <v>93632.5</v>
      </c>
      <c r="K6" s="10"/>
      <c r="L6" s="10">
        <f>L5</f>
        <v>43600</v>
      </c>
      <c r="M6" s="10">
        <f t="shared" ref="M6:M7" si="1">J6-L6</f>
        <v>50032.5</v>
      </c>
      <c r="N6" s="14">
        <v>0.1</v>
      </c>
      <c r="O6" s="14">
        <f>O5/(1+N6)</f>
        <v>0.90909090909090906</v>
      </c>
      <c r="P6" s="12">
        <f t="shared" ref="P6:P8" si="2">M6*O6</f>
        <v>45484.090909090904</v>
      </c>
      <c r="Q6" s="15" t="s">
        <v>22</v>
      </c>
      <c r="R6" s="9">
        <f>20%*D6</f>
        <v>12600</v>
      </c>
    </row>
    <row r="7" spans="1:18" ht="16" thickTop="1">
      <c r="E7" s="31">
        <v>2</v>
      </c>
      <c r="F7" s="10"/>
      <c r="G7" s="10"/>
      <c r="H7" s="10"/>
      <c r="I7" s="10"/>
      <c r="J7" s="8">
        <f>J6</f>
        <v>93632.5</v>
      </c>
      <c r="K7" s="10"/>
      <c r="L7" s="10">
        <f>L6</f>
        <v>43600</v>
      </c>
      <c r="M7" s="10">
        <f t="shared" si="1"/>
        <v>50032.5</v>
      </c>
      <c r="N7" s="14">
        <v>0.1</v>
      </c>
      <c r="O7" s="14">
        <f>O6/(1+N7)</f>
        <v>0.82644628099173545</v>
      </c>
      <c r="P7" s="12">
        <f t="shared" si="2"/>
        <v>41349.173553719003</v>
      </c>
      <c r="Q7" s="15" t="s">
        <v>23</v>
      </c>
      <c r="R7" s="9">
        <v>2000</v>
      </c>
    </row>
    <row r="8" spans="1:18">
      <c r="E8" s="31">
        <v>3</v>
      </c>
      <c r="F8" s="10"/>
      <c r="G8" s="10"/>
      <c r="H8" s="10"/>
      <c r="I8" s="10"/>
      <c r="J8" s="8">
        <f>J7</f>
        <v>93632.5</v>
      </c>
      <c r="K8" s="8">
        <v>12500</v>
      </c>
      <c r="L8" s="10">
        <f>L7</f>
        <v>43600</v>
      </c>
      <c r="M8" s="10">
        <f>J8+K8-L8</f>
        <v>62532.5</v>
      </c>
      <c r="N8" s="14">
        <v>0.1</v>
      </c>
      <c r="O8" s="14">
        <f>O7/(1+N8)</f>
        <v>0.75131480090157765</v>
      </c>
      <c r="P8" s="12">
        <f t="shared" si="2"/>
        <v>46981.592787377907</v>
      </c>
      <c r="Q8" s="15" t="s">
        <v>24</v>
      </c>
      <c r="R8" s="9">
        <v>2000</v>
      </c>
    </row>
    <row r="9" spans="1:18" ht="16" thickBot="1">
      <c r="E9" s="32"/>
      <c r="F9" s="17"/>
      <c r="G9" s="17"/>
      <c r="H9" s="17"/>
      <c r="I9" s="17"/>
      <c r="J9" s="17"/>
      <c r="K9" s="17"/>
      <c r="L9" s="17"/>
      <c r="M9" s="17"/>
      <c r="N9" s="20"/>
      <c r="O9" s="20"/>
      <c r="P9" s="18"/>
      <c r="Q9" s="19" t="s">
        <v>13</v>
      </c>
      <c r="R9" s="16">
        <f>SUM(R5:R8)</f>
        <v>43600</v>
      </c>
    </row>
    <row r="10" spans="1:18" ht="16" thickTop="1">
      <c r="E10" s="24"/>
      <c r="F10" s="25"/>
      <c r="G10" s="25"/>
      <c r="H10" s="25"/>
      <c r="I10" s="25"/>
      <c r="J10" s="25"/>
      <c r="K10" s="25"/>
      <c r="L10" s="25"/>
      <c r="M10" s="25"/>
      <c r="N10" s="24"/>
      <c r="O10" s="24"/>
      <c r="P10" s="25"/>
      <c r="Q10" s="26"/>
      <c r="R10" s="27"/>
    </row>
    <row r="11" spans="1:18">
      <c r="E11" s="24"/>
      <c r="F11" s="25"/>
      <c r="G11" s="25"/>
      <c r="H11" s="25"/>
      <c r="I11" s="25"/>
      <c r="J11" s="25"/>
      <c r="K11" s="25"/>
      <c r="L11" s="25"/>
      <c r="M11" s="25"/>
      <c r="N11" s="24"/>
      <c r="O11" s="24"/>
      <c r="P11" s="25"/>
      <c r="Q11" s="26"/>
      <c r="R11" s="27"/>
    </row>
    <row r="12" spans="1:18">
      <c r="A12" t="s">
        <v>9</v>
      </c>
      <c r="B12" t="s">
        <v>46</v>
      </c>
    </row>
    <row r="13" spans="1:18">
      <c r="B13" t="s">
        <v>41</v>
      </c>
    </row>
    <row r="15" spans="1:18">
      <c r="E15" s="135" t="s">
        <v>65</v>
      </c>
      <c r="F15" s="135"/>
      <c r="G15" s="135"/>
      <c r="H15" s="135"/>
      <c r="I15" s="135"/>
      <c r="J15" s="135"/>
      <c r="K15" s="135"/>
    </row>
    <row r="16" spans="1:18" ht="16" thickBot="1">
      <c r="E16" s="136" t="s">
        <v>66</v>
      </c>
      <c r="F16" s="136"/>
      <c r="G16" s="136"/>
      <c r="H16" s="136"/>
      <c r="I16" s="136"/>
      <c r="J16" s="136"/>
      <c r="K16" s="136"/>
    </row>
    <row r="17" spans="1:11" ht="61" thickTop="1">
      <c r="A17" s="84" t="s">
        <v>0</v>
      </c>
      <c r="B17" s="74" t="s">
        <v>60</v>
      </c>
      <c r="C17" s="74" t="s">
        <v>61</v>
      </c>
      <c r="D17" s="97" t="s">
        <v>62</v>
      </c>
      <c r="E17" s="71" t="s">
        <v>50</v>
      </c>
      <c r="F17" s="57" t="s">
        <v>51</v>
      </c>
      <c r="G17" s="58" t="s">
        <v>52</v>
      </c>
      <c r="H17" s="58" t="s">
        <v>53</v>
      </c>
      <c r="I17" s="58" t="s">
        <v>55</v>
      </c>
      <c r="J17" s="57" t="s">
        <v>54</v>
      </c>
      <c r="K17" s="68" t="s">
        <v>56</v>
      </c>
    </row>
    <row r="18" spans="1:11">
      <c r="A18" s="59" t="s">
        <v>47</v>
      </c>
      <c r="B18" s="10">
        <f>I18</f>
        <v>-19500</v>
      </c>
      <c r="C18" s="10">
        <f>B18</f>
        <v>-19500</v>
      </c>
      <c r="D18" s="76"/>
      <c r="E18" s="59">
        <v>0</v>
      </c>
      <c r="F18" s="53">
        <f>D6</f>
        <v>63000</v>
      </c>
      <c r="G18" s="53">
        <f>J5</f>
        <v>87100</v>
      </c>
      <c r="H18" s="53">
        <f>L5</f>
        <v>43600</v>
      </c>
      <c r="I18" s="53">
        <f>G18-H18-F18</f>
        <v>-19500</v>
      </c>
      <c r="J18" s="53">
        <v>1</v>
      </c>
      <c r="K18" s="69">
        <f>J18*(G18-F18-H18)</f>
        <v>-19500</v>
      </c>
    </row>
    <row r="19" spans="1:11">
      <c r="A19" s="59" t="s">
        <v>48</v>
      </c>
      <c r="B19" s="10">
        <f>I19</f>
        <v>50032.5</v>
      </c>
      <c r="C19" s="10">
        <f>C18+B19</f>
        <v>30532.5</v>
      </c>
      <c r="D19" s="75">
        <f>12+(-C18/(-C18+C19))*12</f>
        <v>16.676959976015588</v>
      </c>
      <c r="E19" s="59">
        <v>1</v>
      </c>
      <c r="F19" s="53">
        <v>0</v>
      </c>
      <c r="G19" s="53">
        <f>J6</f>
        <v>93632.5</v>
      </c>
      <c r="H19" s="53">
        <f>L6</f>
        <v>43600</v>
      </c>
      <c r="I19" s="53">
        <f t="shared" ref="I19:I21" si="3">G19-H19-F19</f>
        <v>50032.5</v>
      </c>
      <c r="J19" s="8">
        <f>1/(1+10%)</f>
        <v>0.90909090909090906</v>
      </c>
      <c r="K19" s="69">
        <f>J19*(G19-F19-H19)</f>
        <v>45484.090909090904</v>
      </c>
    </row>
    <row r="20" spans="1:11" ht="16" thickBot="1">
      <c r="A20" s="95" t="s">
        <v>49</v>
      </c>
      <c r="B20" s="17">
        <f>I20</f>
        <v>50032.5</v>
      </c>
      <c r="C20" s="17">
        <f>C19+B20</f>
        <v>80565</v>
      </c>
      <c r="D20" s="110"/>
      <c r="E20" s="59">
        <v>2</v>
      </c>
      <c r="F20" s="53">
        <v>0</v>
      </c>
      <c r="G20" s="53">
        <f>J7</f>
        <v>93632.5</v>
      </c>
      <c r="H20" s="53">
        <f>L7</f>
        <v>43600</v>
      </c>
      <c r="I20" s="53">
        <f t="shared" si="3"/>
        <v>50032.5</v>
      </c>
      <c r="J20" s="8">
        <f>J19/(1+10%)</f>
        <v>0.82644628099173545</v>
      </c>
      <c r="K20" s="69">
        <f>J20*(G20-F20-H20)</f>
        <v>41349.173553719003</v>
      </c>
    </row>
    <row r="21" spans="1:11" ht="17" thickTop="1" thickBot="1">
      <c r="A21" s="118" t="s">
        <v>70</v>
      </c>
      <c r="B21" s="119"/>
      <c r="C21" s="119"/>
      <c r="D21" s="120"/>
      <c r="E21" s="77">
        <v>3</v>
      </c>
      <c r="F21" s="61">
        <v>0</v>
      </c>
      <c r="G21" s="61">
        <f>G20+12500</f>
        <v>106132.5</v>
      </c>
      <c r="H21" s="61">
        <f>L8</f>
        <v>43600</v>
      </c>
      <c r="I21" s="61">
        <f t="shared" si="3"/>
        <v>62532.5</v>
      </c>
      <c r="J21" s="62">
        <f>J20/(1+10%)</f>
        <v>0.75131480090157765</v>
      </c>
      <c r="K21" s="70">
        <f>J21*(G21-F21-H21)</f>
        <v>46981.592787377907</v>
      </c>
    </row>
    <row r="22" spans="1:11" ht="16" thickTop="1">
      <c r="A22" s="85"/>
      <c r="B22" s="85"/>
      <c r="C22" s="85"/>
      <c r="D22" s="85"/>
      <c r="E22" s="86"/>
      <c r="F22" s="87"/>
      <c r="G22" s="85"/>
      <c r="H22" s="85"/>
      <c r="I22" s="87"/>
      <c r="J22" s="24"/>
      <c r="K22" s="88"/>
    </row>
    <row r="23" spans="1:11" ht="28">
      <c r="A23" s="85"/>
      <c r="B23" s="85"/>
      <c r="C23" s="108" t="s">
        <v>64</v>
      </c>
      <c r="D23" s="109">
        <f>D19</f>
        <v>16.676959976015588</v>
      </c>
      <c r="E23" s="86"/>
      <c r="F23" s="87"/>
      <c r="G23" s="89" t="s">
        <v>3</v>
      </c>
      <c r="H23" s="89">
        <f>K18+K19+K20+K21</f>
        <v>114314.85725018781</v>
      </c>
      <c r="I23" s="87"/>
      <c r="J23" s="24"/>
      <c r="K23" s="88"/>
    </row>
    <row r="24" spans="1:11" ht="16" customHeight="1">
      <c r="A24" s="85"/>
      <c r="B24" s="85"/>
      <c r="C24" s="85"/>
      <c r="D24" s="85"/>
      <c r="E24" s="135" t="s">
        <v>69</v>
      </c>
      <c r="F24" s="135"/>
      <c r="G24" s="135"/>
      <c r="H24" s="135"/>
      <c r="I24" s="135"/>
      <c r="J24" s="135"/>
      <c r="K24" s="135"/>
    </row>
    <row r="25" spans="1:11" ht="17" customHeight="1" thickBot="1">
      <c r="A25" s="85"/>
      <c r="B25" s="85"/>
      <c r="C25" s="85"/>
      <c r="D25" s="85"/>
      <c r="E25" s="136" t="s">
        <v>66</v>
      </c>
      <c r="F25" s="136"/>
      <c r="G25" s="136"/>
      <c r="H25" s="136"/>
      <c r="I25" s="136"/>
      <c r="J25" s="136"/>
      <c r="K25" s="136"/>
    </row>
    <row r="26" spans="1:11" ht="31" thickTop="1">
      <c r="E26" s="71" t="s">
        <v>50</v>
      </c>
      <c r="F26" s="57" t="s">
        <v>51</v>
      </c>
      <c r="G26" s="58" t="s">
        <v>52</v>
      </c>
      <c r="H26" s="58" t="s">
        <v>53</v>
      </c>
      <c r="I26" s="58" t="s">
        <v>55</v>
      </c>
      <c r="J26" s="57" t="s">
        <v>54</v>
      </c>
      <c r="K26" s="68" t="s">
        <v>56</v>
      </c>
    </row>
    <row r="27" spans="1:11">
      <c r="E27" s="59">
        <v>0</v>
      </c>
      <c r="F27" s="53">
        <f>D6</f>
        <v>63000</v>
      </c>
      <c r="G27" s="53">
        <f>J5</f>
        <v>87100</v>
      </c>
      <c r="H27" s="53">
        <f>L5</f>
        <v>43600</v>
      </c>
      <c r="I27" s="53">
        <f>G27-H27-F27</f>
        <v>-19500</v>
      </c>
      <c r="J27" s="53" t="s">
        <v>57</v>
      </c>
      <c r="K27" s="69">
        <f>-F27+(G27-H27)*O6</f>
        <v>-23454.545454545456</v>
      </c>
    </row>
    <row r="28" spans="1:11">
      <c r="E28" s="59">
        <v>1</v>
      </c>
      <c r="F28" s="53">
        <v>0</v>
      </c>
      <c r="G28" s="53">
        <f>J6</f>
        <v>93632.5</v>
      </c>
      <c r="H28" s="53">
        <f>L6</f>
        <v>43600</v>
      </c>
      <c r="I28" s="53">
        <f>G28-H28-F28</f>
        <v>50032.5</v>
      </c>
      <c r="J28" s="8">
        <f>1/((1+10%)*(1+10%))</f>
        <v>0.82644628099173545</v>
      </c>
      <c r="K28" s="69">
        <f>(G28-H28)*J28</f>
        <v>41349.173553719003</v>
      </c>
    </row>
    <row r="29" spans="1:11">
      <c r="E29" s="59">
        <v>2</v>
      </c>
      <c r="F29" s="53">
        <v>0</v>
      </c>
      <c r="G29" s="53">
        <f>J7</f>
        <v>93632.5</v>
      </c>
      <c r="H29" s="53">
        <f>L7</f>
        <v>43600</v>
      </c>
      <c r="I29" s="53">
        <f>G29-H29-F29</f>
        <v>50032.5</v>
      </c>
      <c r="J29" s="8">
        <f>J28/(1+10%)</f>
        <v>0.75131480090157765</v>
      </c>
      <c r="K29" s="69">
        <f>(G29-H29)*J29</f>
        <v>37590.157776108186</v>
      </c>
    </row>
    <row r="30" spans="1:11" ht="16" thickBot="1">
      <c r="B30" s="23"/>
      <c r="E30" s="77">
        <v>3</v>
      </c>
      <c r="F30" s="61">
        <v>0</v>
      </c>
      <c r="G30" s="61">
        <f>J8+K8</f>
        <v>106132.5</v>
      </c>
      <c r="H30" s="61">
        <f>L8</f>
        <v>43600</v>
      </c>
      <c r="I30" s="61">
        <f>G30-H30-F30</f>
        <v>62532.5</v>
      </c>
      <c r="J30" s="62">
        <f>J29/(1+10%)</f>
        <v>0.68301345536507052</v>
      </c>
      <c r="K30" s="70">
        <f>(G30-H30)*J30</f>
        <v>42710.538897616272</v>
      </c>
    </row>
    <row r="31" spans="1:11" ht="16" thickTop="1"/>
    <row r="32" spans="1:11" ht="30">
      <c r="G32" s="64" t="s">
        <v>3</v>
      </c>
      <c r="H32" s="52">
        <f>K28+K29+K30+K27</f>
        <v>98195.324772898006</v>
      </c>
      <c r="J32" s="82" t="s">
        <v>58</v>
      </c>
      <c r="K32" s="83">
        <f>IRR(I27:I30,30%)</f>
        <v>2.5447892397987339</v>
      </c>
    </row>
  </sheetData>
  <mergeCells count="10">
    <mergeCell ref="A1:R1"/>
    <mergeCell ref="A2:D2"/>
    <mergeCell ref="E2:P2"/>
    <mergeCell ref="F3:I3"/>
    <mergeCell ref="Q3:R3"/>
    <mergeCell ref="E16:K16"/>
    <mergeCell ref="E24:K24"/>
    <mergeCell ref="E25:K25"/>
    <mergeCell ref="A21:D21"/>
    <mergeCell ref="E15:K15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Voile légére</vt:lpstr>
      <vt:lpstr>Canoë-Kayak</vt:lpstr>
      <vt:lpstr>Char à voile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DORIOT</dc:creator>
  <cp:lastModifiedBy>Guy DORIOT</cp:lastModifiedBy>
  <dcterms:created xsi:type="dcterms:W3CDTF">2013-09-26T07:50:32Z</dcterms:created>
  <dcterms:modified xsi:type="dcterms:W3CDTF">2013-09-29T14:16:34Z</dcterms:modified>
</cp:coreProperties>
</file>